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итог 66\"/>
    </mc:Choice>
  </mc:AlternateContent>
  <xr:revisionPtr revIDLastSave="0" documentId="8_{7346C0DF-C1BC-4B25-B203-665584CFA81A}" xr6:coauthVersionLast="47" xr6:coauthVersionMax="47" xr10:uidLastSave="{00000000-0000-0000-0000-000000000000}"/>
  <bookViews>
    <workbookView xWindow="-120" yWindow="-120" windowWidth="29040" windowHeight="15720" tabRatio="837" activeTab="1"/>
  </bookViews>
  <sheets>
    <sheet name="Звіт Фін план 1 кв.2024рік" sheetId="25" r:id="rId1"/>
    <sheet name="Звіт Фін план 2 кв.2024рік" sheetId="3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[7]Inform!$E$6</definedName>
    <definedName name="ClDate_21">[8]Inform!$E$6</definedName>
    <definedName name="ClDate_25">[8]Inform!$E$6</definedName>
    <definedName name="ClDate_6">[9]Inform!$E$6</definedName>
    <definedName name="CompName">[7]Inform!$F$2</definedName>
    <definedName name="CompName_21">[8]Inform!$F$2</definedName>
    <definedName name="CompName_25">[8]Inform!$F$2</definedName>
    <definedName name="CompName_6">[9]Inform!$F$2</definedName>
    <definedName name="CompNameE">[7]Inform!$G$2</definedName>
    <definedName name="CompNameE_21">[8]Inform!$G$2</definedName>
    <definedName name="CompNameE_25">[8]Inform!$G$2</definedName>
    <definedName name="CompNameE_6">[9]Inform!$G$2</definedName>
    <definedName name="Cost_Category_National_ID">#REF!</definedName>
    <definedName name="Cе511">#REF!</definedName>
    <definedName name="d">'[10]МТР Газ України'!$B$4</definedName>
    <definedName name="dCPIb">[11]попер_роз!#REF!</definedName>
    <definedName name="dPPIb">[11]попер_роз!#REF!</definedName>
    <definedName name="ds">'[12]7  Інші витрати'!#REF!</definedName>
    <definedName name="Fact_Type_ID">#REF!</definedName>
    <definedName name="G">'[13]МТР Газ України'!$B$1</definedName>
    <definedName name="ij1sssss">'[14]7  Інші витрати'!#REF!</definedName>
    <definedName name="LastItem">[15]Лист1!$A$1</definedName>
    <definedName name="Load">'[16]МТР Газ України'!$B$4</definedName>
    <definedName name="Load_ID">'[17]МТР Газ України'!$B$4</definedName>
    <definedName name="Load_ID_10">'[18]7  Інші витрати'!#REF!</definedName>
    <definedName name="Load_ID_11">'[19]МТР Газ України'!$B$4</definedName>
    <definedName name="Load_ID_12">'[19]МТР Газ України'!$B$4</definedName>
    <definedName name="Load_ID_13">'[19]МТР Газ України'!$B$4</definedName>
    <definedName name="Load_ID_14">'[19]МТР Газ України'!$B$4</definedName>
    <definedName name="Load_ID_15">'[19]МТР Газ України'!$B$4</definedName>
    <definedName name="Load_ID_16">'[19]МТР Газ України'!$B$4</definedName>
    <definedName name="Load_ID_17">'[19]МТР Газ України'!$B$4</definedName>
    <definedName name="Load_ID_18">'[20]МТР Газ України'!$B$4</definedName>
    <definedName name="Load_ID_19">'[21]МТР Газ України'!$B$4</definedName>
    <definedName name="Load_ID_20">'[20]МТР Газ України'!$B$4</definedName>
    <definedName name="Load_ID_200">'[16]МТР Газ України'!$B$4</definedName>
    <definedName name="Load_ID_21">'[22]МТР Газ України'!$B$4</definedName>
    <definedName name="Load_ID_23">'[21]МТР Газ України'!$B$4</definedName>
    <definedName name="Load_ID_25">'[22]МТР Газ України'!$B$4</definedName>
    <definedName name="Load_ID_542">'[23]МТР Газ України'!$B$4</definedName>
    <definedName name="Load_ID_6">'[19]МТР Газ України'!$B$4</definedName>
    <definedName name="OpDate">[7]Inform!$E$5</definedName>
    <definedName name="OpDate_21">[8]Inform!$E$5</definedName>
    <definedName name="OpDate_25">[8]Inform!$E$5</definedName>
    <definedName name="OpDate_6">[9]Inform!$E$5</definedName>
    <definedName name="QR">[24]Inform!$E$5</definedName>
    <definedName name="qw">[5]Inform!$E$5</definedName>
    <definedName name="qwert">[5]Inform!$G$2</definedName>
    <definedName name="qwerty">'[4]МТР Газ України'!$B$4</definedName>
    <definedName name="ShowFil">[15]!ShowFil</definedName>
    <definedName name="SU_ID">#REF!</definedName>
    <definedName name="Time_ID">'[17]МТР Газ України'!$B$1</definedName>
    <definedName name="Time_ID_10">'[18]7  Інші витрати'!#REF!</definedName>
    <definedName name="Time_ID_11">'[19]МТР Газ України'!$B$1</definedName>
    <definedName name="Time_ID_12">'[19]МТР Газ України'!$B$1</definedName>
    <definedName name="Time_ID_13">'[19]МТР Газ України'!$B$1</definedName>
    <definedName name="Time_ID_14">'[19]МТР Газ України'!$B$1</definedName>
    <definedName name="Time_ID_15">'[19]МТР Газ України'!$B$1</definedName>
    <definedName name="Time_ID_16">'[19]МТР Газ України'!$B$1</definedName>
    <definedName name="Time_ID_17">'[19]МТР Газ України'!$B$1</definedName>
    <definedName name="Time_ID_18">'[20]МТР Газ України'!$B$1</definedName>
    <definedName name="Time_ID_19">'[21]МТР Газ України'!$B$1</definedName>
    <definedName name="Time_ID_20">'[20]МТР Газ України'!$B$1</definedName>
    <definedName name="Time_ID_21">'[22]МТР Газ України'!$B$1</definedName>
    <definedName name="Time_ID_23">'[21]МТР Газ України'!$B$1</definedName>
    <definedName name="Time_ID_25">'[22]МТР Газ України'!$B$1</definedName>
    <definedName name="Time_ID_6">'[19]МТР Газ України'!$B$1</definedName>
    <definedName name="Time_ID0">'[17]МТР Газ України'!$F$1</definedName>
    <definedName name="Time_ID0_10">'[18]7  Інші витрати'!#REF!</definedName>
    <definedName name="Time_ID0_11">'[19]МТР Газ України'!$F$1</definedName>
    <definedName name="Time_ID0_12">'[19]МТР Газ України'!$F$1</definedName>
    <definedName name="Time_ID0_13">'[19]МТР Газ України'!$F$1</definedName>
    <definedName name="Time_ID0_14">'[19]МТР Газ України'!$F$1</definedName>
    <definedName name="Time_ID0_15">'[19]МТР Газ України'!$F$1</definedName>
    <definedName name="Time_ID0_16">'[19]МТР Газ України'!$F$1</definedName>
    <definedName name="Time_ID0_17">'[19]МТР Газ України'!$F$1</definedName>
    <definedName name="Time_ID0_18">'[20]МТР Газ України'!$F$1</definedName>
    <definedName name="Time_ID0_19">'[21]МТР Газ України'!$F$1</definedName>
    <definedName name="Time_ID0_20">'[20]МТР Газ України'!$F$1</definedName>
    <definedName name="Time_ID0_21">'[22]МТР Газ України'!$F$1</definedName>
    <definedName name="Time_ID0_23">'[21]МТР Газ України'!$F$1</definedName>
    <definedName name="Time_ID0_25">'[22]МТР Газ України'!$F$1</definedName>
    <definedName name="Time_ID0_6">'[19]МТР Газ України'!$F$1</definedName>
    <definedName name="ttttttt">#REF!</definedName>
    <definedName name="Unit">[7]Inform!$E$38</definedName>
    <definedName name="Unit_21">[8]Inform!$E$38</definedName>
    <definedName name="Unit_25">[8]Inform!$E$38</definedName>
    <definedName name="Unit_6">[9]Inform!$E$38</definedName>
    <definedName name="WQER">'[25]МТР Газ України'!$B$4</definedName>
    <definedName name="wr">'[25]МТР Газ України'!$B$4</definedName>
    <definedName name="yyyy">#REF!</definedName>
    <definedName name="zx">'[4]МТР Газ України'!$F$1</definedName>
    <definedName name="zxc">[5]Inform!$E$38</definedName>
    <definedName name="а">'[14]7  Інші витрати'!#REF!</definedName>
    <definedName name="ав">#REF!</definedName>
    <definedName name="аен">'[25]МТР Газ України'!$B$4</definedName>
    <definedName name="_xlnm.Database">'[26]Ener '!$A$1:$G$2645</definedName>
    <definedName name="в">'[27]МТР Газ України'!$F$1</definedName>
    <definedName name="ватт">'[28]БАЗА  '!#REF!</definedName>
    <definedName name="Д">'[16]МТР Газ України'!$B$4</definedName>
    <definedName name="е">#REF!</definedName>
    <definedName name="є">#REF!</definedName>
    <definedName name="Заголовки_для_печати_МИ">'[29]1993'!$A$1:$IV$3,'[29]1993'!$A$1:$A$65536</definedName>
    <definedName name="і">[31]Inform!$F$2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'[13]МТР Газ України'!$B$1</definedName>
    <definedName name="іцу">[24]Inform!$G$2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1">'Звіт Фін план 2 кв.2024рік'!$A$1:$I$145</definedName>
    <definedName name="п">'[14]7  Інші витрати'!#REF!</definedName>
    <definedName name="пдв">'[16]МТР Газ України'!$B$4</definedName>
    <definedName name="пдв_утг">'[16]МТР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[32]Inform!$E$6</definedName>
    <definedName name="р">#REF!</definedName>
    <definedName name="т">[33]Inform!$E$6</definedName>
    <definedName name="тариф">[34]Inform!$G$2</definedName>
    <definedName name="уйцукйцуйу">#REF!</definedName>
    <definedName name="уке">[35]Inform!$G$2</definedName>
    <definedName name="УТГ">'[16]МТР Газ України'!$B$4</definedName>
    <definedName name="фів">'[25]МТР Газ України'!$B$4</definedName>
    <definedName name="фіваіф">'[30]7  Інші витрати'!#REF!</definedName>
    <definedName name="фф">'[27]МТР Газ України'!$F$1</definedName>
    <definedName name="ц">'[14]7  Інші витрати'!#REF!</definedName>
    <definedName name="ччч">'[36]БАЗА  '!#REF!</definedName>
    <definedName name="ш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31" l="1"/>
  <c r="H49" i="31" s="1"/>
  <c r="E105" i="31"/>
  <c r="E104" i="31"/>
  <c r="E96" i="31"/>
  <c r="E89" i="31"/>
  <c r="E109" i="31"/>
  <c r="E114" i="31"/>
  <c r="F74" i="31"/>
  <c r="F75" i="31"/>
  <c r="F76" i="31"/>
  <c r="F77" i="31"/>
  <c r="F78" i="31"/>
  <c r="F80" i="31"/>
  <c r="F81" i="31"/>
  <c r="F82" i="31"/>
  <c r="F83" i="31"/>
  <c r="F84" i="31"/>
  <c r="F85" i="31"/>
  <c r="F97" i="31"/>
  <c r="F98" i="31"/>
  <c r="F99" i="31"/>
  <c r="F100" i="31"/>
  <c r="F52" i="31"/>
  <c r="F54" i="31"/>
  <c r="F55" i="31"/>
  <c r="F64" i="31"/>
  <c r="F65" i="31"/>
  <c r="F67" i="31"/>
  <c r="F68" i="31"/>
  <c r="F69" i="31"/>
  <c r="F70" i="31"/>
  <c r="F71" i="31"/>
  <c r="F47" i="31"/>
  <c r="E66" i="31"/>
  <c r="E107" i="31" s="1"/>
  <c r="E58" i="31"/>
  <c r="E103" i="31" s="1"/>
  <c r="E110" i="31" s="1"/>
  <c r="E106" i="31"/>
  <c r="E44" i="31"/>
  <c r="E37" i="31"/>
  <c r="C117" i="31"/>
  <c r="C109" i="31"/>
  <c r="C101" i="31"/>
  <c r="C97" i="31"/>
  <c r="C94" i="31"/>
  <c r="C92" i="31"/>
  <c r="C89" i="31" s="1"/>
  <c r="C91" i="31"/>
  <c r="C88" i="31"/>
  <c r="C79" i="31"/>
  <c r="C73" i="31"/>
  <c r="C72" i="31"/>
  <c r="C60" i="31"/>
  <c r="C59" i="31"/>
  <c r="C58" i="31" s="1"/>
  <c r="C103" i="31" s="1"/>
  <c r="C57" i="31"/>
  <c r="C56" i="31"/>
  <c r="C53" i="31"/>
  <c r="C51" i="31"/>
  <c r="C50" i="31"/>
  <c r="C46" i="31"/>
  <c r="C45" i="31"/>
  <c r="C41" i="31"/>
  <c r="C40" i="31"/>
  <c r="C37" i="31" s="1"/>
  <c r="C36" i="31" s="1"/>
  <c r="C132" i="31" s="1"/>
  <c r="C39" i="31"/>
  <c r="C38" i="31"/>
  <c r="G50" i="31"/>
  <c r="G51" i="31"/>
  <c r="G56" i="31"/>
  <c r="G59" i="31"/>
  <c r="I80" i="31"/>
  <c r="I81" i="31"/>
  <c r="I82" i="31"/>
  <c r="I83" i="31"/>
  <c r="I84" i="31"/>
  <c r="I85" i="31"/>
  <c r="I86" i="31"/>
  <c r="H66" i="31"/>
  <c r="G94" i="31"/>
  <c r="G92" i="31"/>
  <c r="G91" i="31"/>
  <c r="G60" i="31"/>
  <c r="G53" i="31"/>
  <c r="G103" i="31" s="1"/>
  <c r="I50" i="31"/>
  <c r="G45" i="31"/>
  <c r="I41" i="31"/>
  <c r="G40" i="31"/>
  <c r="G39" i="31"/>
  <c r="I116" i="31"/>
  <c r="I117" i="31"/>
  <c r="I94" i="31"/>
  <c r="I98" i="31"/>
  <c r="I99" i="31"/>
  <c r="I100" i="31"/>
  <c r="I101" i="31"/>
  <c r="I64" i="31"/>
  <c r="I65" i="31"/>
  <c r="I67" i="31"/>
  <c r="I68" i="31"/>
  <c r="I69" i="31"/>
  <c r="I70" i="31"/>
  <c r="I71" i="31"/>
  <c r="I73" i="31"/>
  <c r="I74" i="31"/>
  <c r="I75" i="31"/>
  <c r="I76" i="31"/>
  <c r="I77" i="31"/>
  <c r="I78" i="31"/>
  <c r="I79" i="31"/>
  <c r="I88" i="31"/>
  <c r="I91" i="31"/>
  <c r="I46" i="31"/>
  <c r="I47" i="31"/>
  <c r="I52" i="31"/>
  <c r="I54" i="31"/>
  <c r="I55" i="31"/>
  <c r="I56" i="31"/>
  <c r="I57" i="31"/>
  <c r="I59" i="31"/>
  <c r="I60" i="31"/>
  <c r="I62" i="31"/>
  <c r="I38" i="31"/>
  <c r="H96" i="31"/>
  <c r="H89" i="31" s="1"/>
  <c r="H107" i="31"/>
  <c r="D92" i="31"/>
  <c r="F92" i="31"/>
  <c r="D118" i="31"/>
  <c r="F118" i="31" s="1"/>
  <c r="D117" i="31"/>
  <c r="F117" i="31"/>
  <c r="D116" i="31"/>
  <c r="F116" i="31" s="1"/>
  <c r="D101" i="31"/>
  <c r="F101" i="31"/>
  <c r="D94" i="31"/>
  <c r="D91" i="31"/>
  <c r="F91" i="31"/>
  <c r="D88" i="31"/>
  <c r="J40" i="31"/>
  <c r="J41" i="31"/>
  <c r="J46" i="31" s="1"/>
  <c r="J44" i="31" s="1"/>
  <c r="J37" i="31"/>
  <c r="J36" i="31" s="1"/>
  <c r="J132" i="31" s="1"/>
  <c r="J42" i="31"/>
  <c r="J53" i="31"/>
  <c r="J56" i="31"/>
  <c r="J58" i="31"/>
  <c r="J66" i="31"/>
  <c r="J107" i="31" s="1"/>
  <c r="J96" i="31"/>
  <c r="J104" i="31"/>
  <c r="J105" i="31"/>
  <c r="J106" i="31"/>
  <c r="J109" i="31"/>
  <c r="J112" i="31"/>
  <c r="J116" i="31"/>
  <c r="J117" i="31"/>
  <c r="J114" i="31" s="1"/>
  <c r="J122" i="31"/>
  <c r="J127" i="31"/>
  <c r="H37" i="31"/>
  <c r="H36" i="31" s="1"/>
  <c r="H132" i="31" s="1"/>
  <c r="H42" i="31"/>
  <c r="H44" i="31"/>
  <c r="H58" i="31"/>
  <c r="H103" i="31"/>
  <c r="H104" i="31"/>
  <c r="H105" i="31"/>
  <c r="H106" i="31"/>
  <c r="I106" i="31" s="1"/>
  <c r="H109" i="31"/>
  <c r="I109" i="31"/>
  <c r="H112" i="31"/>
  <c r="H114" i="31"/>
  <c r="H122" i="31"/>
  <c r="H127" i="31"/>
  <c r="D86" i="31"/>
  <c r="F86" i="31" s="1"/>
  <c r="D79" i="31"/>
  <c r="F79" i="31"/>
  <c r="D73" i="31"/>
  <c r="F73" i="31" s="1"/>
  <c r="D62" i="31"/>
  <c r="F62" i="31"/>
  <c r="D60" i="31"/>
  <c r="D59" i="31"/>
  <c r="F59" i="31"/>
  <c r="D57" i="31"/>
  <c r="F57" i="31" s="1"/>
  <c r="D56" i="31"/>
  <c r="F56" i="31"/>
  <c r="D53" i="31"/>
  <c r="D51" i="31"/>
  <c r="F51" i="31"/>
  <c r="D50" i="31"/>
  <c r="D46" i="31"/>
  <c r="F46" i="31" s="1"/>
  <c r="D45" i="31"/>
  <c r="F45" i="31"/>
  <c r="D41" i="31"/>
  <c r="F41" i="31" s="1"/>
  <c r="D40" i="31"/>
  <c r="F40" i="31"/>
  <c r="D39" i="31"/>
  <c r="F39" i="31" s="1"/>
  <c r="D38" i="31"/>
  <c r="F38" i="31"/>
  <c r="G46" i="25"/>
  <c r="C42" i="31"/>
  <c r="D42" i="31"/>
  <c r="G42" i="31"/>
  <c r="C44" i="31"/>
  <c r="G58" i="31"/>
  <c r="C66" i="31"/>
  <c r="C107" i="31" s="1"/>
  <c r="G66" i="31"/>
  <c r="C96" i="31"/>
  <c r="C90" i="31"/>
  <c r="D96" i="31"/>
  <c r="F96" i="31" s="1"/>
  <c r="G96" i="31"/>
  <c r="G107" i="31" s="1"/>
  <c r="G89" i="31"/>
  <c r="G104" i="31"/>
  <c r="C106" i="31"/>
  <c r="D106" i="31"/>
  <c r="F106" i="31" s="1"/>
  <c r="D112" i="31"/>
  <c r="C114" i="31"/>
  <c r="G114" i="31"/>
  <c r="I114" i="31" s="1"/>
  <c r="C122" i="31"/>
  <c r="D122" i="31"/>
  <c r="G122" i="31"/>
  <c r="K122" i="31"/>
  <c r="C127" i="31"/>
  <c r="D127" i="31"/>
  <c r="G127" i="31"/>
  <c r="K127" i="31"/>
  <c r="C37" i="25"/>
  <c r="C36" i="25" s="1"/>
  <c r="C132" i="25" s="1"/>
  <c r="E37" i="25"/>
  <c r="F37" i="25"/>
  <c r="D38" i="25"/>
  <c r="G38" i="25"/>
  <c r="D39" i="25"/>
  <c r="G39" i="25"/>
  <c r="D40" i="25"/>
  <c r="D37" i="25" s="1"/>
  <c r="G40" i="25"/>
  <c r="D41" i="25"/>
  <c r="G41" i="25"/>
  <c r="C42" i="25"/>
  <c r="D42" i="25"/>
  <c r="E42" i="25"/>
  <c r="F42" i="25"/>
  <c r="C44" i="25"/>
  <c r="E44" i="25"/>
  <c r="F44" i="25"/>
  <c r="D45" i="25"/>
  <c r="D44" i="25"/>
  <c r="G45" i="25"/>
  <c r="D46" i="25"/>
  <c r="D50" i="25"/>
  <c r="E50" i="25"/>
  <c r="D51" i="25"/>
  <c r="E51" i="25"/>
  <c r="E105" i="25" s="1"/>
  <c r="G51" i="25"/>
  <c r="D52" i="25"/>
  <c r="D106" i="25" s="1"/>
  <c r="G52" i="25"/>
  <c r="D53" i="25"/>
  <c r="E53" i="25"/>
  <c r="G53" i="25" s="1"/>
  <c r="D54" i="25"/>
  <c r="G54" i="25"/>
  <c r="D55" i="25"/>
  <c r="G55" i="25"/>
  <c r="D56" i="25"/>
  <c r="E56" i="25"/>
  <c r="G56" i="25"/>
  <c r="D57" i="25"/>
  <c r="E57" i="25"/>
  <c r="G57" i="25"/>
  <c r="C58" i="25"/>
  <c r="E58" i="25"/>
  <c r="F58" i="25"/>
  <c r="F103" i="25" s="1"/>
  <c r="G58" i="25"/>
  <c r="D59" i="25"/>
  <c r="G59" i="25"/>
  <c r="D60" i="25"/>
  <c r="G60" i="25"/>
  <c r="D61" i="25"/>
  <c r="D62" i="25"/>
  <c r="G62" i="25"/>
  <c r="D63" i="25"/>
  <c r="D64" i="25"/>
  <c r="D65" i="25"/>
  <c r="C66" i="25"/>
  <c r="F66" i="25"/>
  <c r="D67" i="25"/>
  <c r="G67" i="25"/>
  <c r="D68" i="25"/>
  <c r="G68" i="25"/>
  <c r="D69" i="25"/>
  <c r="G69" i="25"/>
  <c r="D70" i="25"/>
  <c r="G70" i="25"/>
  <c r="D71" i="25"/>
  <c r="G71" i="25"/>
  <c r="D72" i="25"/>
  <c r="D66" i="25" s="1"/>
  <c r="D73" i="25"/>
  <c r="E73" i="25"/>
  <c r="D74" i="25"/>
  <c r="D75" i="25"/>
  <c r="D76" i="25"/>
  <c r="D77" i="25"/>
  <c r="D78" i="25"/>
  <c r="D79" i="25"/>
  <c r="G79" i="25"/>
  <c r="D80" i="25"/>
  <c r="G80" i="25"/>
  <c r="D81" i="25"/>
  <c r="G81" i="25"/>
  <c r="D82" i="25"/>
  <c r="G82" i="25"/>
  <c r="D83" i="25"/>
  <c r="G83" i="25"/>
  <c r="D84" i="25"/>
  <c r="G84" i="25"/>
  <c r="D85" i="25"/>
  <c r="G85" i="25"/>
  <c r="D86" i="25"/>
  <c r="D87" i="25"/>
  <c r="G88" i="25"/>
  <c r="E90" i="25"/>
  <c r="D90" i="25"/>
  <c r="D91" i="25"/>
  <c r="G91" i="25"/>
  <c r="D92" i="25"/>
  <c r="G92" i="25"/>
  <c r="D93" i="25"/>
  <c r="D94" i="25"/>
  <c r="G94" i="25"/>
  <c r="D95" i="25"/>
  <c r="C96" i="25"/>
  <c r="C107" i="25" s="1"/>
  <c r="E96" i="25"/>
  <c r="E89" i="25"/>
  <c r="F96" i="25"/>
  <c r="G97" i="25"/>
  <c r="D98" i="25"/>
  <c r="D99" i="25"/>
  <c r="G99" i="25"/>
  <c r="D100" i="25"/>
  <c r="G100" i="25"/>
  <c r="G101" i="25"/>
  <c r="E103" i="25"/>
  <c r="C104" i="25"/>
  <c r="D104" i="25"/>
  <c r="F104" i="25"/>
  <c r="C105" i="25"/>
  <c r="D105" i="25"/>
  <c r="F105" i="25"/>
  <c r="G105" i="25"/>
  <c r="C106" i="25"/>
  <c r="F106" i="25"/>
  <c r="D109" i="25"/>
  <c r="F109" i="25"/>
  <c r="G109" i="25" s="1"/>
  <c r="F112" i="25"/>
  <c r="G112" i="25"/>
  <c r="C114" i="25"/>
  <c r="E114" i="25"/>
  <c r="F114" i="25"/>
  <c r="G114" i="25" s="1"/>
  <c r="D116" i="25"/>
  <c r="G116" i="25"/>
  <c r="D117" i="25"/>
  <c r="G117" i="25"/>
  <c r="D118" i="25"/>
  <c r="D114" i="25" s="1"/>
  <c r="G118" i="25"/>
  <c r="D119" i="25"/>
  <c r="C122" i="25"/>
  <c r="D122" i="25"/>
  <c r="E122" i="25"/>
  <c r="F122" i="25"/>
  <c r="G122" i="25"/>
  <c r="C127" i="25"/>
  <c r="D127" i="25"/>
  <c r="E127" i="25"/>
  <c r="F127" i="25"/>
  <c r="G127" i="25"/>
  <c r="G44" i="31"/>
  <c r="I45" i="31"/>
  <c r="I40" i="31"/>
  <c r="I66" i="31"/>
  <c r="I104" i="31"/>
  <c r="I58" i="31"/>
  <c r="H90" i="31"/>
  <c r="G49" i="31"/>
  <c r="G48" i="31" s="1"/>
  <c r="G133" i="31" s="1"/>
  <c r="D44" i="31"/>
  <c r="F44" i="31" s="1"/>
  <c r="D114" i="31"/>
  <c r="F114" i="31" s="1"/>
  <c r="D105" i="31"/>
  <c r="F105" i="31" s="1"/>
  <c r="D90" i="31"/>
  <c r="F90" i="31"/>
  <c r="D66" i="31"/>
  <c r="D37" i="31"/>
  <c r="D36" i="31" s="1"/>
  <c r="I44" i="31"/>
  <c r="E49" i="31"/>
  <c r="E48" i="31"/>
  <c r="E133" i="31" s="1"/>
  <c r="E134" i="31" s="1"/>
  <c r="E36" i="31"/>
  <c r="I103" i="31"/>
  <c r="F49" i="25"/>
  <c r="E132" i="31"/>
  <c r="G96" i="25"/>
  <c r="C134" i="25" l="1"/>
  <c r="F48" i="25"/>
  <c r="G103" i="25"/>
  <c r="G50" i="25"/>
  <c r="E104" i="25"/>
  <c r="G104" i="25" s="1"/>
  <c r="D36" i="25"/>
  <c r="D132" i="25" s="1"/>
  <c r="F53" i="31"/>
  <c r="J134" i="31"/>
  <c r="I89" i="31"/>
  <c r="I39" i="31"/>
  <c r="G37" i="31"/>
  <c r="I92" i="31"/>
  <c r="G90" i="31"/>
  <c r="I90" i="31" s="1"/>
  <c r="G105" i="31"/>
  <c r="I105" i="31" s="1"/>
  <c r="C49" i="31"/>
  <c r="C48" i="31" s="1"/>
  <c r="C104" i="31"/>
  <c r="D132" i="31"/>
  <c r="F36" i="31"/>
  <c r="C89" i="25"/>
  <c r="C90" i="25"/>
  <c r="F36" i="25"/>
  <c r="G37" i="25"/>
  <c r="F50" i="31"/>
  <c r="D104" i="31"/>
  <c r="F104" i="31" s="1"/>
  <c r="G110" i="31"/>
  <c r="C105" i="31"/>
  <c r="F37" i="31"/>
  <c r="F66" i="31"/>
  <c r="D107" i="31"/>
  <c r="F107" i="31" s="1"/>
  <c r="F90" i="25"/>
  <c r="G90" i="25" s="1"/>
  <c r="F107" i="25"/>
  <c r="F89" i="25"/>
  <c r="G89" i="25" s="1"/>
  <c r="E66" i="25"/>
  <c r="G73" i="25"/>
  <c r="D58" i="25"/>
  <c r="D49" i="25" s="1"/>
  <c r="C49" i="25"/>
  <c r="C103" i="25"/>
  <c r="C110" i="25" s="1"/>
  <c r="C133" i="25" s="1"/>
  <c r="G44" i="25"/>
  <c r="E36" i="25"/>
  <c r="E132" i="25" s="1"/>
  <c r="F60" i="31"/>
  <c r="D58" i="31"/>
  <c r="F58" i="31" s="1"/>
  <c r="H110" i="31"/>
  <c r="I110" i="31" s="1"/>
  <c r="J89" i="31"/>
  <c r="J90" i="31"/>
  <c r="J49" i="31"/>
  <c r="J48" i="31" s="1"/>
  <c r="J133" i="31" s="1"/>
  <c r="J103" i="31"/>
  <c r="J110" i="31" s="1"/>
  <c r="F94" i="31"/>
  <c r="D89" i="31"/>
  <c r="F89" i="31" s="1"/>
  <c r="I51" i="31"/>
  <c r="D96" i="25"/>
  <c r="D89" i="25" s="1"/>
  <c r="F88" i="31"/>
  <c r="D109" i="31"/>
  <c r="F109" i="31" s="1"/>
  <c r="I107" i="31"/>
  <c r="I49" i="31"/>
  <c r="H48" i="31"/>
  <c r="I53" i="31"/>
  <c r="D48" i="25" l="1"/>
  <c r="F133" i="25"/>
  <c r="D103" i="25"/>
  <c r="G36" i="31"/>
  <c r="I37" i="31"/>
  <c r="E107" i="25"/>
  <c r="G107" i="25" s="1"/>
  <c r="G66" i="25"/>
  <c r="E49" i="25"/>
  <c r="E110" i="25"/>
  <c r="D107" i="25"/>
  <c r="F132" i="25"/>
  <c r="G36" i="25"/>
  <c r="H133" i="31"/>
  <c r="I48" i="31"/>
  <c r="D49" i="31"/>
  <c r="D103" i="31"/>
  <c r="C48" i="25"/>
  <c r="C110" i="31"/>
  <c r="C133" i="31" s="1"/>
  <c r="C134" i="31" s="1"/>
  <c r="F110" i="25"/>
  <c r="G110" i="25" s="1"/>
  <c r="I133" i="31" l="1"/>
  <c r="H134" i="31"/>
  <c r="D110" i="25"/>
  <c r="D133" i="25" s="1"/>
  <c r="D134" i="25" s="1"/>
  <c r="F103" i="31"/>
  <c r="D110" i="31"/>
  <c r="F110" i="31" s="1"/>
  <c r="F49" i="31"/>
  <c r="D48" i="31"/>
  <c r="G132" i="25"/>
  <c r="F134" i="25"/>
  <c r="E48" i="25"/>
  <c r="G49" i="25"/>
  <c r="G132" i="31"/>
  <c r="I36" i="31"/>
  <c r="D133" i="31" l="1"/>
  <c r="D134" i="31" s="1"/>
  <c r="F48" i="31"/>
  <c r="E133" i="25"/>
  <c r="G48" i="25"/>
  <c r="G134" i="31"/>
  <c r="I132" i="31"/>
  <c r="E134" i="25" l="1"/>
  <c r="G133" i="25"/>
</calcChain>
</file>

<file path=xl/sharedStrings.xml><?xml version="1.0" encoding="utf-8"?>
<sst xmlns="http://schemas.openxmlformats.org/spreadsheetml/2006/main" count="327" uniqueCount="154">
  <si>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</si>
  <si>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</si>
  <si>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</si>
  <si>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Витрати на оплату праці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</si>
  <si>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</si>
  <si>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</si>
  <si>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</si>
  <si>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</si>
  <si>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</si>
  <si>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</si>
  <si>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</si>
  <si>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</si>
  <si>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</si>
  <si>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</si>
  <si>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Усього доходів</t>
  </si>
  <si>
    <t>Територія</t>
  </si>
  <si>
    <t>Форма власності</t>
  </si>
  <si>
    <t>Інші операційні витрати</t>
  </si>
  <si>
    <t>придбання (виготовлення) інших необоротних матеріальних активів</t>
  </si>
  <si>
    <t>модернізація, модифікація (добудова, дообладнання, реконструкція) основних засобів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</si>
  <si>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</si>
  <si>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Середньооблікова кількість штатних працівників</t>
  </si>
  <si>
    <t>Усього витрат</t>
  </si>
  <si>
    <t>за КОАТУУ</t>
  </si>
  <si>
    <t>за КОПФГ</t>
  </si>
  <si>
    <t xml:space="preserve">за ЄДРПОУ </t>
  </si>
  <si>
    <t>Стандарти звітності П(с)БОУ</t>
  </si>
  <si>
    <t>Стандарти звітності МСФЗ</t>
  </si>
  <si>
    <t xml:space="preserve">                                (посада)</t>
  </si>
  <si>
    <t>_________________________</t>
  </si>
  <si>
    <t>Коди</t>
  </si>
  <si>
    <t>Найменування показника</t>
  </si>
  <si>
    <t xml:space="preserve">               (підпис)</t>
  </si>
  <si>
    <t>капітальний ремонт</t>
  </si>
  <si>
    <t>Витрати на електроенергію</t>
  </si>
  <si>
    <t>Інші витрати (розшифрувати)</t>
  </si>
  <si>
    <t>Керівник</t>
  </si>
  <si>
    <t>Одиниця виміру, грн.</t>
  </si>
  <si>
    <t>Витрати на водопостачання та водовідведення</t>
  </si>
  <si>
    <t>Витрати на природній газ</t>
  </si>
  <si>
    <t>Витрати на тверде паливо</t>
  </si>
  <si>
    <t>господарчі товари та інвентар</t>
  </si>
  <si>
    <t>Витрати на викачку нечистот та вивіз побутових відходів</t>
  </si>
  <si>
    <t>Інші доходи від операційної діяльності, в т.ч.:</t>
  </si>
  <si>
    <t>I. Фінансові результати</t>
  </si>
  <si>
    <t>Дохід з місцевого бюджету за цільовими програмами, у тому числі:</t>
  </si>
  <si>
    <t>тис. грн.</t>
  </si>
  <si>
    <t>Витрати на паливо-мастильні матеріали</t>
  </si>
  <si>
    <t>Капітальні інвестиції, усього, у тому числі:</t>
  </si>
  <si>
    <t>Доходи і витрати від операційної діяльності (деталізація)</t>
  </si>
  <si>
    <t>ІІ. Елементи операційних витрат</t>
  </si>
  <si>
    <t>Матеріальні затрати</t>
  </si>
  <si>
    <t>доходи з місцевого бюджету цільового фінансування по капітальних видатках</t>
  </si>
  <si>
    <t>ІІІ. Інвестиційна діяльність</t>
  </si>
  <si>
    <t>Нерозподілені доходи</t>
  </si>
  <si>
    <t>ІV. Фінансова діяльність</t>
  </si>
  <si>
    <t>Доходи від інвестиційної діяльності, у т.ч.: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</si>
  <si>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</si>
  <si>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</si>
  <si>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</si>
  <si>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</si>
  <si>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</si>
  <si>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</si>
  <si>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ЗВІТ</t>
  </si>
  <si>
    <t xml:space="preserve">ПРО ВИКОНАННЯ ФІНАНСОВОГО ПЛАНУ ПІДПРИЄМСТВА </t>
  </si>
  <si>
    <t>(квартал, рік)</t>
  </si>
  <si>
    <t>виконання фінансового плану підприємства</t>
  </si>
  <si>
    <t>минулий рік</t>
  </si>
  <si>
    <t>поточний рік</t>
  </si>
  <si>
    <t>Звітний період (квартал, рік)</t>
  </si>
  <si>
    <t>план</t>
  </si>
  <si>
    <t>факт</t>
  </si>
  <si>
    <t>виконання, %</t>
  </si>
  <si>
    <t>"ЗАТВЕРДЖЕНО"</t>
  </si>
  <si>
    <t>Додаток 2</t>
  </si>
  <si>
    <t>Охорона здоров'я</t>
  </si>
  <si>
    <t>комунальна</t>
  </si>
  <si>
    <t>86.10</t>
  </si>
  <si>
    <t>Х</t>
  </si>
  <si>
    <t>Комунальне некомерційне підприємство</t>
  </si>
  <si>
    <t>Одеська обл., Арцизький р-н, м. Арциз</t>
  </si>
  <si>
    <t>68404, Одеська область, Арцизький район, м. Арциз, вул. Добровольського, 5</t>
  </si>
  <si>
    <t>(04845) 31476</t>
  </si>
  <si>
    <r>
      <t>Директор</t>
    </r>
    <r>
      <rPr>
        <sz val="14"/>
        <rFont val="Times New Roman"/>
        <family val="1"/>
        <charset val="204"/>
      </rPr>
      <t>_____________________</t>
    </r>
  </si>
  <si>
    <t>Л.В. Федорова</t>
  </si>
  <si>
    <t>Федорова Людмила Василівна</t>
  </si>
  <si>
    <t>Витрати на комунальні послуги та енергоносії, в т.ч.:</t>
  </si>
  <si>
    <t>Витрати на теплопостачання</t>
  </si>
  <si>
    <t>Дохід (виручка) від реалізації продукції (товарів, робіт, послуг) у тому числі:</t>
  </si>
  <si>
    <t>від основної діяльності, у тому числі, за рахунок:</t>
  </si>
  <si>
    <t>коштів від медичного обслуговування населення за договорами з НСЗУ згідно з державною програмою медичних гарантій</t>
  </si>
  <si>
    <t>коштів місцевого бюджету на оплату комунальних послуг та енергоносіїв</t>
  </si>
  <si>
    <t>коштів місцевого бюджету на розвиток підприємства та зміцнення його матеріально-технічної бази</t>
  </si>
  <si>
    <t>коштів місцевого бюджету на поточні видатки підприємства</t>
  </si>
  <si>
    <t>доходи від операційної оренди активів, дохід від платних послуг</t>
  </si>
  <si>
    <t xml:space="preserve">дохід за іншими джерелами власних надходжянь </t>
  </si>
  <si>
    <t>Витрати</t>
  </si>
  <si>
    <t>Операційні</t>
  </si>
  <si>
    <t>Нарахування на заробітну плату</t>
  </si>
  <si>
    <t>Соціальне забезпечення</t>
  </si>
  <si>
    <t>Предмети, матеріали, обладнання та інвентар</t>
  </si>
  <si>
    <t>Медикаменти та перев'язувальні матеріали</t>
  </si>
  <si>
    <t>М'який інвентар</t>
  </si>
  <si>
    <t>Інші поточні видатки</t>
  </si>
  <si>
    <t>Інші операційні видатки</t>
  </si>
  <si>
    <t>Видатки на відрядження</t>
  </si>
  <si>
    <t>Послуги (крім комунальних)</t>
  </si>
  <si>
    <t>ТО/сервісне обслуговування/повірка НМА</t>
  </si>
  <si>
    <t>Зв'язок, інтернет</t>
  </si>
  <si>
    <t>Інші неопераційні витрати</t>
  </si>
  <si>
    <t>Амортизація</t>
  </si>
  <si>
    <t>АДМІНІСТРАТИВНІ ВИТРАТИ</t>
  </si>
  <si>
    <t>IV.Додаткова інформація</t>
  </si>
  <si>
    <t>Штатна чисельність працівників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</si>
  <si>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</si>
  <si>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</si>
  <si>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</si>
  <si>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</si>
  <si>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</si>
  <si>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КНП "Центр первинної медико-санітарної допомоги  Арцизької міської ради "</t>
  </si>
  <si>
    <t>Арцизька міська рада</t>
  </si>
  <si>
    <t>Арцизький міський голова</t>
  </si>
  <si>
    <t>Сергій ПАРПУЛАНСЬКИЙ</t>
  </si>
  <si>
    <t>____________</t>
  </si>
  <si>
    <t>Неопераційний дохід</t>
  </si>
  <si>
    <t>Інші поточні видатки (податки)</t>
  </si>
  <si>
    <t>Оплата послуг (крім комунальних)</t>
  </si>
  <si>
    <t xml:space="preserve">Оплата послуг </t>
  </si>
  <si>
    <t>Відшкодування вартості пільгових ліків, програма кадри</t>
  </si>
  <si>
    <t>Разом (сума рядків 400 - 450)</t>
  </si>
  <si>
    <t>Факт з наростаючим підсумком з початку року</t>
  </si>
  <si>
    <t>Охорона</t>
  </si>
  <si>
    <t>Страхування</t>
  </si>
  <si>
    <t>Банківське обслуговування</t>
  </si>
  <si>
    <t>ремонт опалення Главані</t>
  </si>
  <si>
    <t>кв-=ра лікарю, зп інтерна</t>
  </si>
  <si>
    <t>бензин +дп</t>
  </si>
  <si>
    <t>Витрати на вивіз відходів</t>
  </si>
  <si>
    <t xml:space="preserve">до Порядку про складання, затвердження та контролю </t>
  </si>
  <si>
    <r>
      <t xml:space="preserve">Витрати на тверде паливо, </t>
    </r>
    <r>
      <rPr>
        <i/>
        <sz val="14"/>
        <color indexed="40"/>
        <rFont val="Times New Roman"/>
        <family val="1"/>
        <charset val="204"/>
      </rPr>
      <t>ПММ на генератори</t>
    </r>
  </si>
  <si>
    <t>"____" ___________ 2024 р.</t>
  </si>
  <si>
    <t>програма підтримки лікарських кадрів для Комунального некомерційного підприємства «Центр первинної медико-санітарної допомоги Арцизької міської ради» на 2022-2023 роки</t>
  </si>
  <si>
    <t>за I квартал 2024 року</t>
  </si>
  <si>
    <t>,</t>
  </si>
  <si>
    <t>за IІ квартал 2024 року</t>
  </si>
  <si>
    <t>факт за І півр</t>
  </si>
  <si>
    <t>Рішення Арцизької міської ради</t>
  </si>
  <si>
    <t>план 1 півріччя</t>
  </si>
  <si>
    <t>%</t>
  </si>
  <si>
    <t>бенз 67,2 2кв</t>
  </si>
  <si>
    <t>Витрати на тверде паливо, ПММ на генератори</t>
  </si>
  <si>
    <t xml:space="preserve"> Дохід (виручка) від реалізації продукції (товарів, робіт, послуг) у тому числі:</t>
  </si>
  <si>
    <t>від 14.08.2024 р. №2533-VIII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</si>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</sst>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5" formatCode="_-* #,##0.00\ _₽_-;\-* #,##0.00\ _₽_-;_-* &quot;-&quot;??\ _₽_-;_-@_-"/>
    <numFmt numFmtId="175" formatCode="#,##0&quot;р.&quot;;[Red]\-#,##0&quot;р.&quot;"/>
    <numFmt numFmtId="176" formatCode="#,##0.00&quot;р.&quot;;\-#,##0.00&quot;р.&quot;"/>
    <numFmt numFmtId="181" formatCode="_-* #,##0.00_р_._-;\-* #,##0.00_р_._-;_-* &quot;-&quot;??_р_._-;_-@_-"/>
    <numFmt numFmtId="189" formatCode="_-* #,##0.00\ _г_р_н_._-;\-* #,##0.00\ _г_р_н_._-;_-* &quot;-&quot;??\ _г_р_н_._-;_-@_-"/>
    <numFmt numFmtId="197" formatCode="_-* #,##0.00_₴_-;\-* #,##0.00_₴_-;_-* &quot;-&quot;??_₴_-;_-@_-"/>
    <numFmt numFmtId="199" formatCode="#,##0.0"/>
    <numFmt numFmtId="204" formatCode="###\ ##0.000"/>
    <numFmt numFmtId="205" formatCode="_(&quot;$&quot;* #,##0.00_);_(&quot;$&quot;* \(#,##0.00\);_(&quot;$&quot;* &quot;-&quot;??_);_(@_)"/>
    <numFmt numFmtId="206" formatCode="_(* #,##0_);_(* \(#,##0\);_(* &quot;-&quot;_);_(@_)"/>
    <numFmt numFmtId="207" formatCode="_(* #,##0.00_);_(* \(#,##0.00\);_(* &quot;-&quot;??_);_(@_)"/>
    <numFmt numFmtId="208" formatCode="#,##0.0_ ;[Red]\-#,##0.0\ "/>
    <numFmt numFmtId="209" formatCode="0.0;\(0.0\);\ ;\-"/>
    <numFmt numFmtId="214" formatCode="_(* #,##0.0_);_(* \(#,##0.0\);_(* &quot;-&quot;_);_(@_)"/>
    <numFmt numFmtId="215" formatCode="_(* #,##0.00_);_(* \(#,##0.00\);_(* &quot;-&quot;_);_(@_)"/>
    <numFmt numFmtId="223" formatCode="_-* #,##0.0_р_._-;\-* #,##0.0_р_._-;_-* &quot;-&quot;?_р_._-;_-@_-"/>
    <numFmt numFmtId="225" formatCode="_-* #,##0.0\ _₽_-;\-* #,##0.0\ _₽_-;_-* &quot;-&quot;??\ _₽_-;_-@_-"/>
  </numFmts>
  <fonts count="77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8"/>
      <name val="Times New Roman"/>
      <family val="1"/>
      <charset val="204"/>
    </font>
    <font>
      <i/>
      <sz val="14"/>
      <color indexed="40"/>
      <name val="Times New Roman"/>
      <family val="1"/>
      <charset val="204"/>
    </font>
    <font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.5"/>
      <name val="Times New Roman"/>
      <family val="1"/>
      <charset val="204"/>
    </font>
    <font>
      <sz val="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CC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52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89" fontId="8" fillId="0" borderId="0" applyFont="0" applyFill="0" applyBorder="0" applyAlignment="0" applyProtection="0"/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204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8" fillId="0" borderId="0"/>
    <xf numFmtId="0" fontId="8" fillId="0" borderId="0"/>
    <xf numFmtId="0" fontId="2" fillId="24" borderId="9" applyNumberFormat="0" applyFont="0" applyAlignment="0" applyProtection="0"/>
    <xf numFmtId="4" fontId="44" fillId="25" borderId="3">
      <alignment horizontal="right" vertical="center"/>
      <protection locked="0"/>
    </xf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205" fontId="8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8" fillId="0" borderId="0"/>
    <xf numFmtId="0" fontId="2" fillId="0" borderId="0"/>
    <xf numFmtId="0" fontId="8" fillId="0" borderId="0"/>
    <xf numFmtId="0" fontId="8" fillId="0" borderId="0" applyNumberFormat="0" applyFont="0" applyFill="0" applyBorder="0" applyAlignment="0" applyProtection="0">
      <alignment vertical="top"/>
    </xf>
    <xf numFmtId="0" fontId="8" fillId="0" borderId="0" applyNumberFormat="0" applyFont="0" applyFill="0" applyBorder="0" applyAlignment="0" applyProtection="0">
      <alignment vertical="top"/>
    </xf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4" borderId="9" applyNumberFormat="0" applyFont="0" applyAlignment="0" applyProtection="0"/>
    <xf numFmtId="0" fontId="8" fillId="24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206" fontId="60" fillId="0" borderId="0" applyFont="0" applyFill="0" applyBorder="0" applyAlignment="0" applyProtection="0"/>
    <xf numFmtId="207" fontId="60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209" fontId="62" fillId="22" borderId="12" applyFill="0" applyBorder="0">
      <alignment horizontal="center" vertical="center" wrapText="1"/>
      <protection locked="0"/>
    </xf>
    <xf numFmtId="204" fontId="63" fillId="0" borderId="0">
      <alignment wrapText="1"/>
    </xf>
    <xf numFmtId="204" fontId="30" fillId="0" borderId="0">
      <alignment wrapText="1"/>
    </xf>
  </cellStyleXfs>
  <cellXfs count="125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223" fontId="4" fillId="0" borderId="0" xfId="0" applyNumberFormat="1" applyFont="1" applyFill="1" applyAlignment="1">
      <alignment vertical="center"/>
    </xf>
    <xf numFmtId="0" fontId="71" fillId="0" borderId="0" xfId="0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14" fontId="3" fillId="0" borderId="3" xfId="0" applyNumberFormat="1" applyFont="1" applyFill="1" applyBorder="1" applyAlignment="1">
      <alignment horizontal="center" vertical="center" wrapText="1"/>
    </xf>
    <xf numFmtId="214" fontId="4" fillId="0" borderId="3" xfId="0" applyNumberFormat="1" applyFont="1" applyFill="1" applyBorder="1" applyAlignment="1">
      <alignment horizontal="center" vertical="center" wrapText="1"/>
    </xf>
    <xf numFmtId="214" fontId="72" fillId="0" borderId="3" xfId="0" applyNumberFormat="1" applyFont="1" applyFill="1" applyBorder="1" applyAlignment="1">
      <alignment horizontal="center" vertical="center" wrapText="1"/>
    </xf>
    <xf numFmtId="214" fontId="4" fillId="0" borderId="3" xfId="0" applyNumberFormat="1" applyFont="1" applyFill="1" applyBorder="1" applyAlignment="1">
      <alignment horizontal="right" vertical="center" wrapText="1"/>
    </xf>
    <xf numFmtId="215" fontId="4" fillId="0" borderId="3" xfId="0" applyNumberFormat="1" applyFont="1" applyFill="1" applyBorder="1" applyAlignment="1">
      <alignment horizontal="center" vertical="center" wrapText="1"/>
    </xf>
    <xf numFmtId="206" fontId="4" fillId="0" borderId="0" xfId="0" applyNumberFormat="1" applyFont="1" applyFill="1" applyBorder="1" applyAlignment="1">
      <alignment horizontal="center" vertical="center" wrapText="1"/>
    </xf>
    <xf numFmtId="0" fontId="72" fillId="0" borderId="0" xfId="0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206" fontId="4" fillId="0" borderId="3" xfId="0" applyNumberFormat="1" applyFont="1" applyFill="1" applyBorder="1" applyAlignment="1">
      <alignment horizontal="center" vertical="center" wrapText="1"/>
    </xf>
    <xf numFmtId="0" fontId="73" fillId="0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206" fontId="72" fillId="0" borderId="3" xfId="0" applyNumberFormat="1" applyFont="1" applyFill="1" applyBorder="1" applyAlignment="1">
      <alignment horizontal="center" vertical="center" wrapText="1"/>
    </xf>
    <xf numFmtId="206" fontId="3" fillId="0" borderId="3" xfId="0" applyNumberFormat="1" applyFont="1" applyFill="1" applyBorder="1" applyAlignment="1">
      <alignment horizontal="center" vertical="center" wrapText="1"/>
    </xf>
    <xf numFmtId="19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225" fontId="3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199" fontId="4" fillId="0" borderId="0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215" fontId="3" fillId="0" borderId="3" xfId="0" applyNumberFormat="1" applyFont="1" applyFill="1" applyBorder="1" applyAlignment="1">
      <alignment horizontal="center" vertical="center" wrapText="1"/>
    </xf>
    <xf numFmtId="199" fontId="5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72" fillId="0" borderId="0" xfId="0" applyFont="1" applyFill="1" applyAlignment="1">
      <alignment vertical="center"/>
    </xf>
    <xf numFmtId="0" fontId="74" fillId="0" borderId="0" xfId="0" applyFont="1" applyFill="1" applyBorder="1" applyAlignment="1">
      <alignment vertical="center"/>
    </xf>
    <xf numFmtId="0" fontId="72" fillId="0" borderId="3" xfId="0" applyFont="1" applyFill="1" applyBorder="1" applyAlignment="1">
      <alignment horizontal="left" vertical="center" wrapText="1"/>
    </xf>
    <xf numFmtId="0" fontId="3" fillId="0" borderId="3" xfId="0" quotePrefix="1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5" fillId="0" borderId="3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214" fontId="3" fillId="0" borderId="3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65" fontId="3" fillId="0" borderId="0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wrapText="1"/>
    </xf>
    <xf numFmtId="199" fontId="4" fillId="0" borderId="0" xfId="0" applyNumberFormat="1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8" borderId="0" xfId="0" applyFont="1" applyFill="1" applyBorder="1" applyAlignment="1">
      <alignment vertical="center"/>
    </xf>
    <xf numFmtId="0" fontId="3" fillId="28" borderId="0" xfId="0" applyFont="1" applyFill="1" applyBorder="1" applyAlignment="1">
      <alignment horizontal="center" vertical="center" wrapText="1"/>
    </xf>
    <xf numFmtId="0" fontId="4" fillId="28" borderId="3" xfId="0" applyFont="1" applyFill="1" applyBorder="1" applyAlignment="1">
      <alignment horizontal="center" vertical="center" wrapText="1" shrinkToFit="1"/>
    </xf>
    <xf numFmtId="0" fontId="4" fillId="28" borderId="3" xfId="0" applyFont="1" applyFill="1" applyBorder="1" applyAlignment="1">
      <alignment horizontal="center" vertical="center" wrapText="1"/>
    </xf>
    <xf numFmtId="214" fontId="3" fillId="28" borderId="3" xfId="0" applyNumberFormat="1" applyFont="1" applyFill="1" applyBorder="1" applyAlignment="1">
      <alignment horizontal="center" vertical="center" wrapText="1"/>
    </xf>
    <xf numFmtId="214" fontId="4" fillId="28" borderId="3" xfId="0" applyNumberFormat="1" applyFont="1" applyFill="1" applyBorder="1" applyAlignment="1">
      <alignment horizontal="center" vertical="center" wrapText="1"/>
    </xf>
    <xf numFmtId="206" fontId="4" fillId="28" borderId="3" xfId="0" applyNumberFormat="1" applyFont="1" applyFill="1" applyBorder="1" applyAlignment="1">
      <alignment horizontal="center" vertical="center" wrapText="1"/>
    </xf>
    <xf numFmtId="225" fontId="3" fillId="28" borderId="3" xfId="0" applyNumberFormat="1" applyFont="1" applyFill="1" applyBorder="1" applyAlignment="1">
      <alignment horizontal="center" vertical="center" wrapText="1"/>
    </xf>
    <xf numFmtId="215" fontId="4" fillId="28" borderId="3" xfId="0" applyNumberFormat="1" applyFont="1" applyFill="1" applyBorder="1" applyAlignment="1">
      <alignment horizontal="center" vertical="center" wrapText="1"/>
    </xf>
    <xf numFmtId="206" fontId="4" fillId="28" borderId="0" xfId="0" applyNumberFormat="1" applyFont="1" applyFill="1" applyBorder="1" applyAlignment="1">
      <alignment horizontal="center" vertical="center" wrapText="1"/>
    </xf>
    <xf numFmtId="199" fontId="4" fillId="28" borderId="0" xfId="0" applyNumberFormat="1" applyFont="1" applyFill="1" applyBorder="1" applyAlignment="1">
      <alignment horizontal="right" vertical="center" wrapText="1"/>
    </xf>
    <xf numFmtId="0" fontId="4" fillId="28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6" fillId="0" borderId="3" xfId="0" applyFont="1" applyFill="1" applyBorder="1" applyAlignment="1">
      <alignment horizontal="left" vertical="center" wrapText="1"/>
    </xf>
    <xf numFmtId="1" fontId="67" fillId="0" borderId="3" xfId="0" applyNumberFormat="1" applyFont="1" applyFill="1" applyBorder="1" applyAlignment="1">
      <alignment horizontal="center" vertical="center"/>
    </xf>
    <xf numFmtId="0" fontId="67" fillId="0" borderId="3" xfId="0" applyFont="1" applyFill="1" applyBorder="1" applyAlignment="1">
      <alignment horizontal="center" vertical="center"/>
    </xf>
    <xf numFmtId="0" fontId="67" fillId="0" borderId="3" xfId="0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vertical="center"/>
    </xf>
    <xf numFmtId="0" fontId="67" fillId="0" borderId="0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vertical="center"/>
    </xf>
    <xf numFmtId="0" fontId="69" fillId="0" borderId="0" xfId="0" applyFont="1" applyFill="1" applyAlignment="1">
      <alignment vertical="center"/>
    </xf>
    <xf numFmtId="199" fontId="3" fillId="0" borderId="3" xfId="0" applyNumberFormat="1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76" fillId="0" borderId="0" xfId="0" applyFont="1" applyFill="1" applyAlignment="1">
      <alignment horizontal="left" vertical="center"/>
    </xf>
    <xf numFmtId="0" fontId="74" fillId="0" borderId="0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99" fontId="4" fillId="0" borderId="0" xfId="0" applyNumberFormat="1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75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73" fillId="0" borderId="13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</cellXfs>
  <cellStyles count="352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te" xfId="182"/>
    <cellStyle name="Number-Cells" xfId="183"/>
    <cellStyle name="Number-Cells-Column2" xfId="184"/>
    <cellStyle name="Number-Cells-Column5" xfId="185"/>
    <cellStyle name="Output" xfId="186"/>
    <cellStyle name="Row-Header" xfId="187"/>
    <cellStyle name="Row-Header 2" xfId="188"/>
    <cellStyle name="Title" xfId="189"/>
    <cellStyle name="Total" xfId="190"/>
    <cellStyle name="Warning Text" xfId="191"/>
    <cellStyle name="Акцент1 2" xfId="192"/>
    <cellStyle name="Акцент1 3" xfId="193"/>
    <cellStyle name="Акцент2 2" xfId="194"/>
    <cellStyle name="Акцент2 3" xfId="195"/>
    <cellStyle name="Акцент3 2" xfId="196"/>
    <cellStyle name="Акцент3 3" xfId="197"/>
    <cellStyle name="Акцент4 2" xfId="198"/>
    <cellStyle name="Акцент4 3" xfId="199"/>
    <cellStyle name="Акцент5 2" xfId="200"/>
    <cellStyle name="Акцент5 3" xfId="201"/>
    <cellStyle name="Акцент6 2" xfId="202"/>
    <cellStyle name="Акцент6 3" xfId="203"/>
    <cellStyle name="Ввод  2" xfId="204"/>
    <cellStyle name="Ввод  3" xfId="205"/>
    <cellStyle name="Вывод 2" xfId="206"/>
    <cellStyle name="Вывод 3" xfId="207"/>
    <cellStyle name="Вычисление 2" xfId="208"/>
    <cellStyle name="Вычисление 3" xfId="209"/>
    <cellStyle name="Денежный 2" xfId="210"/>
    <cellStyle name="Заголовок 1 2" xfId="211"/>
    <cellStyle name="Заголовок 1 3" xfId="212"/>
    <cellStyle name="Заголовок 2 2" xfId="213"/>
    <cellStyle name="Заголовок 2 3" xfId="214"/>
    <cellStyle name="Заголовок 3 2" xfId="215"/>
    <cellStyle name="Заголовок 3 3" xfId="216"/>
    <cellStyle name="Заголовок 4 2" xfId="217"/>
    <cellStyle name="Заголовок 4 3" xfId="218"/>
    <cellStyle name="Итог 2" xfId="219"/>
    <cellStyle name="Итог 3" xfId="220"/>
    <cellStyle name="Контрольная ячейка 2" xfId="221"/>
    <cellStyle name="Контрольная ячейка 3" xfId="222"/>
    <cellStyle name="Название 2" xfId="223"/>
    <cellStyle name="Название 3" xfId="224"/>
    <cellStyle name="Нейтральный 2" xfId="225"/>
    <cellStyle name="Нейтральный 3" xfId="226"/>
    <cellStyle name="Обычный" xfId="0" builtinId="0"/>
    <cellStyle name="Обычный 10" xfId="227"/>
    <cellStyle name="Обычный 11" xfId="228"/>
    <cellStyle name="Обычный 12" xfId="229"/>
    <cellStyle name="Обычный 13" xfId="230"/>
    <cellStyle name="Обычный 14" xfId="231"/>
    <cellStyle name="Обычный 15" xfId="232"/>
    <cellStyle name="Обычный 16" xfId="233"/>
    <cellStyle name="Обычный 17" xfId="234"/>
    <cellStyle name="Обычный 18" xfId="235"/>
    <cellStyle name="Обычный 2" xfId="236"/>
    <cellStyle name="Обычный 2 10" xfId="237"/>
    <cellStyle name="Обычный 2 11" xfId="238"/>
    <cellStyle name="Обычный 2 12" xfId="239"/>
    <cellStyle name="Обычный 2 13" xfId="240"/>
    <cellStyle name="Обычный 2 14" xfId="241"/>
    <cellStyle name="Обычный 2 15" xfId="242"/>
    <cellStyle name="Обычный 2 16" xfId="243"/>
    <cellStyle name="Обычный 2 2" xfId="244"/>
    <cellStyle name="Обычный 2 2 2" xfId="245"/>
    <cellStyle name="Обычный 2 2 3" xfId="246"/>
    <cellStyle name="Обычный 2 2_Расшифровка прочих" xfId="247"/>
    <cellStyle name="Обычный 2 3" xfId="248"/>
    <cellStyle name="Обычный 2 4" xfId="249"/>
    <cellStyle name="Обычный 2 5" xfId="250"/>
    <cellStyle name="Обычный 2 6" xfId="251"/>
    <cellStyle name="Обычный 2 7" xfId="252"/>
    <cellStyle name="Обычный 2 8" xfId="253"/>
    <cellStyle name="Обычный 2 9" xfId="254"/>
    <cellStyle name="Обычный 2_2604-2010" xfId="255"/>
    <cellStyle name="Обычный 3" xfId="256"/>
    <cellStyle name="Обычный 3 10" xfId="257"/>
    <cellStyle name="Обычный 3 11" xfId="258"/>
    <cellStyle name="Обычный 3 12" xfId="259"/>
    <cellStyle name="Обычный 3 13" xfId="260"/>
    <cellStyle name="Обычный 3 14" xfId="261"/>
    <cellStyle name="Обычный 3 2" xfId="262"/>
    <cellStyle name="Обычный 3 3" xfId="263"/>
    <cellStyle name="Обычный 3 4" xfId="264"/>
    <cellStyle name="Обычный 3 5" xfId="265"/>
    <cellStyle name="Обычный 3 6" xfId="266"/>
    <cellStyle name="Обычный 3 7" xfId="267"/>
    <cellStyle name="Обычный 3 8" xfId="268"/>
    <cellStyle name="Обычный 3 9" xfId="269"/>
    <cellStyle name="Обычный 3_Дефицит_7 млрд_0608_бс" xfId="270"/>
    <cellStyle name="Обычный 4" xfId="271"/>
    <cellStyle name="Обычный 5" xfId="272"/>
    <cellStyle name="Обычный 5 2" xfId="273"/>
    <cellStyle name="Обычный 6" xfId="274"/>
    <cellStyle name="Обычный 6 2" xfId="275"/>
    <cellStyle name="Обычный 6 3" xfId="276"/>
    <cellStyle name="Обычный 6 4" xfId="277"/>
    <cellStyle name="Обычный 6_Дефицит_7 млрд_0608_бс" xfId="278"/>
    <cellStyle name="Обычный 7" xfId="279"/>
    <cellStyle name="Обычный 7 2" xfId="280"/>
    <cellStyle name="Обычный 8" xfId="281"/>
    <cellStyle name="Обычный 9" xfId="282"/>
    <cellStyle name="Обычный 9 2" xfId="283"/>
    <cellStyle name="Плохой 2" xfId="284"/>
    <cellStyle name="Плохой 3" xfId="285"/>
    <cellStyle name="Пояснение 2" xfId="286"/>
    <cellStyle name="Пояснение 3" xfId="287"/>
    <cellStyle name="Примечание 2" xfId="288"/>
    <cellStyle name="Примечание 3" xfId="289"/>
    <cellStyle name="Процентный 2" xfId="290"/>
    <cellStyle name="Процентный 2 10" xfId="291"/>
    <cellStyle name="Процентный 2 11" xfId="292"/>
    <cellStyle name="Процентный 2 12" xfId="293"/>
    <cellStyle name="Процентный 2 13" xfId="294"/>
    <cellStyle name="Процентный 2 14" xfId="295"/>
    <cellStyle name="Процентный 2 15" xfId="296"/>
    <cellStyle name="Процентный 2 16" xfId="297"/>
    <cellStyle name="Процентный 2 2" xfId="298"/>
    <cellStyle name="Процентный 2 3" xfId="299"/>
    <cellStyle name="Процентный 2 4" xfId="300"/>
    <cellStyle name="Процентный 2 5" xfId="301"/>
    <cellStyle name="Процентный 2 6" xfId="302"/>
    <cellStyle name="Процентный 2 7" xfId="303"/>
    <cellStyle name="Процентный 2 8" xfId="304"/>
    <cellStyle name="Процентный 2 9" xfId="305"/>
    <cellStyle name="Процентный 3" xfId="306"/>
    <cellStyle name="Процентный 4" xfId="307"/>
    <cellStyle name="Процентный 4 2" xfId="308"/>
    <cellStyle name="Связанная ячейка 2" xfId="309"/>
    <cellStyle name="Связанная ячейка 3" xfId="310"/>
    <cellStyle name="Стиль 1" xfId="311"/>
    <cellStyle name="Стиль 1 2" xfId="312"/>
    <cellStyle name="Стиль 1 3" xfId="313"/>
    <cellStyle name="Стиль 1 4" xfId="314"/>
    <cellStyle name="Стиль 1 5" xfId="315"/>
    <cellStyle name="Стиль 1 6" xfId="316"/>
    <cellStyle name="Стиль 1 7" xfId="317"/>
    <cellStyle name="Текст предупреждения 2" xfId="318"/>
    <cellStyle name="Текст предупреждения 3" xfId="319"/>
    <cellStyle name="Тысячи [0]_1.62" xfId="320"/>
    <cellStyle name="Тысячи_1.62" xfId="321"/>
    <cellStyle name="Финансовый 2" xfId="322"/>
    <cellStyle name="Финансовый 2 10" xfId="323"/>
    <cellStyle name="Финансовый 2 11" xfId="324"/>
    <cellStyle name="Финансовый 2 12" xfId="325"/>
    <cellStyle name="Финансовый 2 13" xfId="326"/>
    <cellStyle name="Финансовый 2 14" xfId="327"/>
    <cellStyle name="Финансовый 2 15" xfId="328"/>
    <cellStyle name="Финансовый 2 16" xfId="329"/>
    <cellStyle name="Финансовый 2 17" xfId="330"/>
    <cellStyle name="Финансовый 2 2" xfId="331"/>
    <cellStyle name="Финансовый 2 3" xfId="332"/>
    <cellStyle name="Финансовый 2 4" xfId="333"/>
    <cellStyle name="Финансовый 2 5" xfId="334"/>
    <cellStyle name="Финансовый 2 6" xfId="335"/>
    <cellStyle name="Финансовый 2 7" xfId="336"/>
    <cellStyle name="Финансовый 2 8" xfId="337"/>
    <cellStyle name="Финансовый 2 9" xfId="338"/>
    <cellStyle name="Финансовый 3" xfId="339"/>
    <cellStyle name="Финансовый 3 2" xfId="340"/>
    <cellStyle name="Финансовый 4" xfId="341"/>
    <cellStyle name="Финансовый 4 2" xfId="342"/>
    <cellStyle name="Финансовый 4 3" xfId="343"/>
    <cellStyle name="Финансовый 5" xfId="344"/>
    <cellStyle name="Финансовый 6" xfId="345"/>
    <cellStyle name="Финансовый 7" xfId="346"/>
    <cellStyle name="Хороший 2" xfId="347"/>
    <cellStyle name="Хороший 3" xfId="348"/>
    <cellStyle name="числовой" xfId="349"/>
    <cellStyle name="Ю" xfId="350"/>
    <cellStyle name="Ю-FreeSet_10" xfId="3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klyashka/Desktop/Ariadna/Sum_p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22020\&#1060;&#1110;&#1085;&#1072;&#1085;&#1089;&#1086;&#1074;&#1110;%20&#1087;&#1083;&#1072;&#1085;&#1080;\&#1053;&#1040;&#1050;%20&#1053;&#1072;&#1092;&#1090;&#1086;&#1075;&#1072;&#1079;\2014\&#1030;%20&#1088;&#1077;&#1076;&#1072;&#1082;&#1094;&#1110;&#1103;%20(14.02.2014)\003%20&#1076;&#1086;&#1076;&#1072;&#1090;&#1082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рн.фил"/>
      <sheetName val="Джурчи"/>
      <sheetName val="УГВ"/>
      <sheetName val="ЧорНГ"/>
      <sheetName val="Додаток 1"/>
      <sheetName val="Додаток2"/>
      <sheetName val="Графік"/>
      <sheetName val="ГрОДА"/>
      <sheetName val="Мфілія"/>
      <sheetName val="Харків"/>
      <sheetName val="Донецьк"/>
      <sheetName val="Черкас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55"/>
  <sheetViews>
    <sheetView view="pageBreakPreview" topLeftCell="A104" zoomScale="80" zoomScaleNormal="100" zoomScaleSheetLayoutView="80" workbookViewId="0">
      <selection activeCell="A36" sqref="A36"/>
    </sheetView>
  </sheetViews>
  <sheetFormatPr defaultRowHeight="18.75"/>
  <cols>
    <col min="1" max="1" width="93.140625" style="1" customWidth="1"/>
    <col min="2" max="2" width="14.85546875" style="2" customWidth="1"/>
    <col min="3" max="4" width="17.42578125" style="2" customWidth="1"/>
    <col min="5" max="5" width="20.28515625" style="1" customWidth="1"/>
    <col min="6" max="6" width="19.140625" style="1" customWidth="1"/>
    <col min="7" max="7" width="17" style="1" customWidth="1"/>
    <col min="8" max="8" width="15.28515625" style="1" hidden="1" customWidth="1"/>
    <col min="9" max="9" width="9.7109375" style="1" hidden="1" customWidth="1"/>
    <col min="10" max="10" width="9.140625" style="1" hidden="1" customWidth="1"/>
    <col min="11" max="16384" width="9.140625" style="1"/>
  </cols>
  <sheetData>
    <row r="1" spans="1:9">
      <c r="D1" s="1"/>
      <c r="E1" s="1" t="s">
        <v>74</v>
      </c>
    </row>
    <row r="2" spans="1:9">
      <c r="D2" s="1" t="s">
        <v>138</v>
      </c>
    </row>
    <row r="3" spans="1:9">
      <c r="D3" s="1" t="s">
        <v>66</v>
      </c>
    </row>
    <row r="5" spans="1:9">
      <c r="G5" s="18"/>
    </row>
    <row r="6" spans="1:9">
      <c r="F6" s="106" t="s">
        <v>73</v>
      </c>
      <c r="G6" s="106"/>
      <c r="H6" s="107"/>
      <c r="I6" s="107"/>
    </row>
    <row r="7" spans="1:9">
      <c r="F7" s="8" t="s">
        <v>121</v>
      </c>
      <c r="G7" s="23"/>
    </row>
    <row r="8" spans="1:9">
      <c r="E8" s="1" t="s">
        <v>123</v>
      </c>
      <c r="F8" s="1" t="s">
        <v>122</v>
      </c>
      <c r="G8" s="19"/>
    </row>
    <row r="9" spans="1:9">
      <c r="F9" s="1" t="s">
        <v>140</v>
      </c>
      <c r="G9" s="19"/>
    </row>
    <row r="12" spans="1:9">
      <c r="B12" s="110"/>
      <c r="C12" s="110"/>
      <c r="D12" s="110"/>
      <c r="F12" s="108" t="s">
        <v>30</v>
      </c>
      <c r="G12" s="108"/>
    </row>
    <row r="13" spans="1:9" ht="52.5" customHeight="1">
      <c r="A13" s="26" t="s">
        <v>9</v>
      </c>
      <c r="B13" s="94" t="s">
        <v>119</v>
      </c>
      <c r="C13" s="94"/>
      <c r="D13" s="94"/>
      <c r="E13" s="94"/>
      <c r="F13" s="20" t="s">
        <v>25</v>
      </c>
      <c r="G13" s="25">
        <v>38661186</v>
      </c>
    </row>
    <row r="14" spans="1:9">
      <c r="A14" s="26" t="s">
        <v>10</v>
      </c>
      <c r="B14" s="94" t="s">
        <v>79</v>
      </c>
      <c r="C14" s="94"/>
      <c r="D14" s="94"/>
      <c r="E14" s="8"/>
      <c r="F14" s="20" t="s">
        <v>24</v>
      </c>
      <c r="G14" s="25">
        <v>150</v>
      </c>
    </row>
    <row r="15" spans="1:9" ht="32.25" customHeight="1">
      <c r="A15" s="26" t="s">
        <v>15</v>
      </c>
      <c r="B15" s="94" t="s">
        <v>80</v>
      </c>
      <c r="C15" s="94"/>
      <c r="D15" s="94"/>
      <c r="E15" s="8"/>
      <c r="F15" s="20" t="s">
        <v>23</v>
      </c>
      <c r="G15" s="25">
        <v>5124755100</v>
      </c>
    </row>
    <row r="16" spans="1:9" ht="32.25" customHeight="1">
      <c r="A16" s="26" t="s">
        <v>20</v>
      </c>
      <c r="B16" s="117" t="s">
        <v>120</v>
      </c>
      <c r="C16" s="117"/>
      <c r="D16" s="117"/>
      <c r="E16" s="9"/>
      <c r="F16" s="20" t="s">
        <v>5</v>
      </c>
      <c r="G16" s="25"/>
    </row>
    <row r="17" spans="1:7">
      <c r="A17" s="26" t="s">
        <v>12</v>
      </c>
      <c r="B17" s="94" t="s">
        <v>75</v>
      </c>
      <c r="C17" s="94"/>
      <c r="D17" s="94"/>
      <c r="E17" s="9"/>
      <c r="F17" s="20" t="s">
        <v>4</v>
      </c>
      <c r="G17" s="25"/>
    </row>
    <row r="18" spans="1:7">
      <c r="A18" s="26" t="s">
        <v>11</v>
      </c>
      <c r="B18" s="94"/>
      <c r="C18" s="94"/>
      <c r="D18" s="94"/>
      <c r="E18" s="9"/>
      <c r="F18" s="21" t="s">
        <v>6</v>
      </c>
      <c r="G18" s="25" t="s">
        <v>77</v>
      </c>
    </row>
    <row r="19" spans="1:7">
      <c r="A19" s="26" t="s">
        <v>37</v>
      </c>
      <c r="B19" s="94"/>
      <c r="C19" s="94"/>
      <c r="D19" s="94"/>
      <c r="E19" s="94" t="s">
        <v>26</v>
      </c>
      <c r="F19" s="109"/>
      <c r="G19" s="11" t="s">
        <v>78</v>
      </c>
    </row>
    <row r="20" spans="1:7">
      <c r="A20" s="26" t="s">
        <v>16</v>
      </c>
      <c r="B20" s="94" t="s">
        <v>76</v>
      </c>
      <c r="C20" s="94"/>
      <c r="D20" s="94"/>
      <c r="E20" s="94" t="s">
        <v>27</v>
      </c>
      <c r="F20" s="109"/>
      <c r="G20" s="27"/>
    </row>
    <row r="21" spans="1:7">
      <c r="A21" s="26" t="s">
        <v>21</v>
      </c>
      <c r="B21" s="115">
        <v>140.75</v>
      </c>
      <c r="C21" s="115"/>
      <c r="D21" s="115"/>
      <c r="E21" s="9"/>
      <c r="F21" s="9"/>
      <c r="G21" s="28"/>
    </row>
    <row r="22" spans="1:7" ht="45" customHeight="1">
      <c r="A22" s="26" t="s">
        <v>7</v>
      </c>
      <c r="B22" s="116" t="s">
        <v>81</v>
      </c>
      <c r="C22" s="116"/>
      <c r="D22" s="116"/>
      <c r="E22" s="116"/>
      <c r="F22" s="8"/>
      <c r="G22" s="29"/>
    </row>
    <row r="23" spans="1:7">
      <c r="A23" s="26" t="s">
        <v>8</v>
      </c>
      <c r="B23" s="116" t="s">
        <v>82</v>
      </c>
      <c r="C23" s="116"/>
      <c r="D23" s="116"/>
      <c r="E23" s="9"/>
      <c r="F23" s="9"/>
      <c r="G23" s="28"/>
    </row>
    <row r="24" spans="1:7">
      <c r="A24" s="26" t="s">
        <v>36</v>
      </c>
      <c r="B24" s="116" t="s">
        <v>85</v>
      </c>
      <c r="C24" s="116"/>
      <c r="D24" s="116"/>
      <c r="E24" s="8"/>
      <c r="F24" s="8"/>
      <c r="G24" s="29"/>
    </row>
    <row r="25" spans="1:7">
      <c r="A25" s="24"/>
      <c r="B25" s="30"/>
      <c r="C25" s="30"/>
      <c r="D25" s="30"/>
    </row>
    <row r="26" spans="1:7">
      <c r="A26" s="105" t="s">
        <v>63</v>
      </c>
      <c r="B26" s="105"/>
      <c r="C26" s="105"/>
      <c r="D26" s="105"/>
      <c r="E26" s="105"/>
      <c r="F26" s="105"/>
      <c r="G26" s="105"/>
    </row>
    <row r="27" spans="1:7">
      <c r="A27" s="105" t="s">
        <v>64</v>
      </c>
      <c r="B27" s="105"/>
      <c r="C27" s="105"/>
      <c r="D27" s="105"/>
      <c r="E27" s="105"/>
      <c r="F27" s="105"/>
      <c r="G27" s="105"/>
    </row>
    <row r="28" spans="1:7">
      <c r="A28" s="97" t="s">
        <v>142</v>
      </c>
      <c r="B28" s="97"/>
      <c r="C28" s="97"/>
      <c r="D28" s="97"/>
      <c r="E28" s="97"/>
      <c r="F28" s="97"/>
      <c r="G28" s="97"/>
    </row>
    <row r="29" spans="1:7">
      <c r="A29" s="98" t="s">
        <v>65</v>
      </c>
      <c r="B29" s="98"/>
      <c r="C29" s="98"/>
      <c r="D29" s="98"/>
      <c r="E29" s="98"/>
      <c r="F29" s="98"/>
      <c r="G29" s="98"/>
    </row>
    <row r="30" spans="1:7">
      <c r="A30" s="10"/>
      <c r="B30" s="30"/>
      <c r="C30" s="10"/>
      <c r="D30" s="10"/>
      <c r="E30" s="10"/>
      <c r="F30" s="10"/>
      <c r="G30" s="10" t="s">
        <v>46</v>
      </c>
    </row>
    <row r="31" spans="1:7" ht="36" customHeight="1">
      <c r="A31" s="108" t="s">
        <v>31</v>
      </c>
      <c r="B31" s="99" t="s">
        <v>13</v>
      </c>
      <c r="C31" s="113" t="s">
        <v>130</v>
      </c>
      <c r="D31" s="114"/>
      <c r="E31" s="99" t="s">
        <v>69</v>
      </c>
      <c r="F31" s="99"/>
      <c r="G31" s="99"/>
    </row>
    <row r="32" spans="1:7" ht="61.5" customHeight="1">
      <c r="A32" s="108"/>
      <c r="B32" s="99"/>
      <c r="C32" s="31" t="s">
        <v>67</v>
      </c>
      <c r="D32" s="31" t="s">
        <v>68</v>
      </c>
      <c r="E32" s="39" t="s">
        <v>70</v>
      </c>
      <c r="F32" s="39" t="s">
        <v>71</v>
      </c>
      <c r="G32" s="39" t="s">
        <v>72</v>
      </c>
    </row>
    <row r="33" spans="1:8" ht="18" customHeight="1">
      <c r="A33" s="25">
        <v>1</v>
      </c>
      <c r="B33" s="11">
        <v>2</v>
      </c>
      <c r="C33" s="11">
        <v>3</v>
      </c>
      <c r="D33" s="11">
        <v>4</v>
      </c>
      <c r="E33" s="11">
        <v>5</v>
      </c>
      <c r="F33" s="11">
        <v>6</v>
      </c>
      <c r="G33" s="11">
        <v>7</v>
      </c>
    </row>
    <row r="34" spans="1:8" ht="18" customHeight="1">
      <c r="A34" s="100" t="s">
        <v>44</v>
      </c>
      <c r="B34" s="100"/>
      <c r="C34" s="100"/>
      <c r="D34" s="100"/>
      <c r="E34" s="100"/>
      <c r="F34" s="100"/>
      <c r="G34" s="101"/>
    </row>
    <row r="35" spans="1:8" s="3" customFormat="1" ht="20.100000000000001" customHeight="1">
      <c r="A35" s="102" t="s">
        <v>49</v>
      </c>
      <c r="B35" s="102"/>
      <c r="C35" s="102"/>
      <c r="D35" s="102"/>
      <c r="E35" s="102"/>
      <c r="F35" s="102"/>
      <c r="G35" s="102"/>
    </row>
    <row r="36" spans="1:8" s="3" customFormat="1" ht="32.25" customHeight="1">
      <c r="A36" s="63" t="s">
        <v>88</v>
      </c>
      <c r="B36" s="47">
        <v>100</v>
      </c>
      <c r="C36" s="12">
        <f>C37+C42+C44+C47</f>
        <v>7468.2</v>
      </c>
      <c r="D36" s="12">
        <f>D37+D42+D44+D47</f>
        <v>10316.600000000002</v>
      </c>
      <c r="E36" s="12">
        <f>E37+E42+E44+E47</f>
        <v>10637</v>
      </c>
      <c r="F36" s="12">
        <f>F37+F42+F44+F47</f>
        <v>10316.600000000002</v>
      </c>
      <c r="G36" s="12">
        <f t="shared" ref="G36:G41" si="0">F36/E36*100</f>
        <v>96.98787252044751</v>
      </c>
    </row>
    <row r="37" spans="1:8" s="3" customFormat="1" ht="25.5" customHeight="1">
      <c r="A37" s="63" t="s">
        <v>89</v>
      </c>
      <c r="B37" s="47">
        <v>110</v>
      </c>
      <c r="C37" s="12">
        <f>C38+C39+C40+C41</f>
        <v>7056.7</v>
      </c>
      <c r="D37" s="12">
        <f>D38+D39+D40+D41</f>
        <v>6126.7000000000007</v>
      </c>
      <c r="E37" s="12">
        <f>E38+E39+E40+E41</f>
        <v>6442</v>
      </c>
      <c r="F37" s="12">
        <f>F38+F39+F40+F41</f>
        <v>6126.7000000000007</v>
      </c>
      <c r="G37" s="12">
        <f t="shared" si="0"/>
        <v>95.105557280347725</v>
      </c>
    </row>
    <row r="38" spans="1:8" s="3" customFormat="1" ht="34.5" customHeight="1">
      <c r="A38" s="60" t="s">
        <v>90</v>
      </c>
      <c r="B38" s="48">
        <v>111</v>
      </c>
      <c r="C38" s="13">
        <v>5591.2</v>
      </c>
      <c r="D38" s="13">
        <f>F38</f>
        <v>5397.1</v>
      </c>
      <c r="E38" s="13">
        <v>5671</v>
      </c>
      <c r="F38" s="13">
        <v>5397.1</v>
      </c>
      <c r="G38" s="13">
        <f t="shared" si="0"/>
        <v>95.170163992241228</v>
      </c>
      <c r="H38" s="67"/>
    </row>
    <row r="39" spans="1:8" s="45" customFormat="1" ht="25.5" customHeight="1">
      <c r="A39" s="60" t="s">
        <v>91</v>
      </c>
      <c r="B39" s="48">
        <v>112</v>
      </c>
      <c r="C39" s="13">
        <v>670.4</v>
      </c>
      <c r="D39" s="13">
        <f>F39</f>
        <v>109</v>
      </c>
      <c r="E39" s="13">
        <v>120.1</v>
      </c>
      <c r="F39" s="13">
        <v>109</v>
      </c>
      <c r="G39" s="13">
        <f t="shared" si="0"/>
        <v>90.757701915070783</v>
      </c>
    </row>
    <row r="40" spans="1:8" s="3" customFormat="1" ht="37.5" customHeight="1">
      <c r="A40" s="60" t="s">
        <v>92</v>
      </c>
      <c r="B40" s="48">
        <v>113</v>
      </c>
      <c r="C40" s="13">
        <v>301</v>
      </c>
      <c r="D40" s="13">
        <f>F40</f>
        <v>30</v>
      </c>
      <c r="E40" s="13">
        <v>30.5</v>
      </c>
      <c r="F40" s="13">
        <v>30</v>
      </c>
      <c r="G40" s="13">
        <f t="shared" si="0"/>
        <v>98.360655737704917</v>
      </c>
      <c r="H40" s="3" t="s">
        <v>134</v>
      </c>
    </row>
    <row r="41" spans="1:8" s="3" customFormat="1" ht="33" customHeight="1">
      <c r="A41" s="60" t="s">
        <v>93</v>
      </c>
      <c r="B41" s="48">
        <v>114</v>
      </c>
      <c r="C41" s="13">
        <v>494.1</v>
      </c>
      <c r="D41" s="13">
        <f>F41</f>
        <v>590.6</v>
      </c>
      <c r="E41" s="13">
        <v>620.4</v>
      </c>
      <c r="F41" s="13">
        <v>590.6</v>
      </c>
      <c r="G41" s="13">
        <f t="shared" si="0"/>
        <v>95.196647324306909</v>
      </c>
    </row>
    <row r="42" spans="1:8" s="3" customFormat="1">
      <c r="A42" s="63" t="s">
        <v>45</v>
      </c>
      <c r="B42" s="47">
        <v>120</v>
      </c>
      <c r="C42" s="12">
        <f>C43</f>
        <v>0</v>
      </c>
      <c r="D42" s="12">
        <f>D43</f>
        <v>0</v>
      </c>
      <c r="E42" s="12">
        <f>E43</f>
        <v>0</v>
      </c>
      <c r="F42" s="12">
        <f>F43</f>
        <v>0</v>
      </c>
      <c r="G42" s="12">
        <v>0</v>
      </c>
    </row>
    <row r="43" spans="1:8" s="3" customFormat="1" ht="41.25" customHeight="1">
      <c r="A43" s="62" t="s">
        <v>141</v>
      </c>
      <c r="B43" s="49">
        <v>121</v>
      </c>
      <c r="C43" s="13">
        <v>0</v>
      </c>
      <c r="D43" s="13"/>
      <c r="E43" s="13">
        <v>0</v>
      </c>
      <c r="F43" s="13">
        <v>0</v>
      </c>
      <c r="G43" s="13">
        <v>0</v>
      </c>
      <c r="H43" s="3" t="s">
        <v>135</v>
      </c>
    </row>
    <row r="44" spans="1:8" s="3" customFormat="1" ht="20.25" customHeight="1">
      <c r="A44" s="64" t="s">
        <v>43</v>
      </c>
      <c r="B44" s="47">
        <v>130</v>
      </c>
      <c r="C44" s="12">
        <f>C45+C46</f>
        <v>411.5</v>
      </c>
      <c r="D44" s="12">
        <f>D45+D46</f>
        <v>4189.9000000000005</v>
      </c>
      <c r="E44" s="12">
        <f>E45+E46</f>
        <v>4195</v>
      </c>
      <c r="F44" s="12">
        <f>F45+F46</f>
        <v>4189.9000000000005</v>
      </c>
      <c r="G44" s="13">
        <f>F44/E44*100</f>
        <v>99.878426698450554</v>
      </c>
    </row>
    <row r="45" spans="1:8" s="3" customFormat="1">
      <c r="A45" s="62" t="s">
        <v>94</v>
      </c>
      <c r="B45" s="49">
        <v>131</v>
      </c>
      <c r="C45" s="13">
        <v>48.6</v>
      </c>
      <c r="D45" s="13">
        <f>F45</f>
        <v>48.6</v>
      </c>
      <c r="E45" s="13">
        <v>50</v>
      </c>
      <c r="F45" s="13">
        <v>48.6</v>
      </c>
      <c r="G45" s="13">
        <f t="shared" ref="G45:G109" si="1">F45/E45*100</f>
        <v>97.2</v>
      </c>
    </row>
    <row r="46" spans="1:8" s="45" customFormat="1">
      <c r="A46" s="62" t="s">
        <v>95</v>
      </c>
      <c r="B46" s="49">
        <v>132</v>
      </c>
      <c r="C46" s="13">
        <v>362.9</v>
      </c>
      <c r="D46" s="13">
        <f>F46</f>
        <v>4141.3</v>
      </c>
      <c r="E46" s="13">
        <v>4145</v>
      </c>
      <c r="F46" s="13">
        <v>4141.3</v>
      </c>
      <c r="G46" s="13">
        <f>F46/E46*100</f>
        <v>99.910735826296744</v>
      </c>
    </row>
    <row r="47" spans="1:8" s="3" customFormat="1" hidden="1">
      <c r="A47" s="63" t="s">
        <v>124</v>
      </c>
      <c r="B47" s="49"/>
      <c r="C47" s="13"/>
      <c r="D47" s="13"/>
      <c r="E47" s="13"/>
      <c r="F47" s="13"/>
      <c r="G47" s="13"/>
    </row>
    <row r="48" spans="1:8" ht="18.75" customHeight="1">
      <c r="A48" s="63" t="s">
        <v>96</v>
      </c>
      <c r="B48" s="48"/>
      <c r="C48" s="12">
        <f>C49+C87+C89</f>
        <v>7558.1</v>
      </c>
      <c r="D48" s="12">
        <f>D49+D87+D89</f>
        <v>10568.499999999998</v>
      </c>
      <c r="E48" s="12">
        <f>E49+E87+E89</f>
        <v>10637</v>
      </c>
      <c r="F48" s="12">
        <f>F49+F87+F89</f>
        <v>10568.499999999998</v>
      </c>
      <c r="G48" s="13">
        <f t="shared" si="1"/>
        <v>99.356021434615002</v>
      </c>
    </row>
    <row r="49" spans="1:8" s="4" customFormat="1" ht="20.100000000000001" customHeight="1">
      <c r="A49" s="63" t="s">
        <v>97</v>
      </c>
      <c r="B49" s="50"/>
      <c r="C49" s="12">
        <f>C50+C51+C52+C56+C53+C57+C58+C66</f>
        <v>6972.7000000000007</v>
      </c>
      <c r="D49" s="12">
        <f>D50+D51+D52+D56+D53+D57+D58+D66</f>
        <v>10025.699999999999</v>
      </c>
      <c r="E49" s="12">
        <f>E50+E51+E52+E56+E53+E57+E58+E66</f>
        <v>10058</v>
      </c>
      <c r="F49" s="12">
        <f>F50+F51+F52+F56+F53+F57+F58+F66</f>
        <v>10025.699999999999</v>
      </c>
      <c r="G49" s="13">
        <f t="shared" si="1"/>
        <v>99.678862596937748</v>
      </c>
    </row>
    <row r="50" spans="1:8" s="4" customFormat="1" ht="20.100000000000001" customHeight="1">
      <c r="A50" s="60" t="s">
        <v>3</v>
      </c>
      <c r="B50" s="11">
        <v>200</v>
      </c>
      <c r="C50" s="13">
        <v>4152.8</v>
      </c>
      <c r="D50" s="13">
        <f>F50</f>
        <v>4173.7</v>
      </c>
      <c r="E50" s="13">
        <f>4655.9-105.9-130</f>
        <v>4420</v>
      </c>
      <c r="F50" s="13">
        <v>4173.7</v>
      </c>
      <c r="G50" s="13">
        <f t="shared" si="1"/>
        <v>94.427601809954737</v>
      </c>
    </row>
    <row r="51" spans="1:8" s="4" customFormat="1" ht="16.5" customHeight="1">
      <c r="A51" s="60" t="s">
        <v>98</v>
      </c>
      <c r="B51" s="11">
        <v>210</v>
      </c>
      <c r="C51" s="13">
        <v>842</v>
      </c>
      <c r="D51" s="13">
        <f t="shared" ref="D51:D57" si="2">F51</f>
        <v>862.5</v>
      </c>
      <c r="E51" s="13">
        <f>945.2-20</f>
        <v>925.2</v>
      </c>
      <c r="F51" s="13">
        <v>862.5</v>
      </c>
      <c r="G51" s="13">
        <f t="shared" si="1"/>
        <v>93.223086900129687</v>
      </c>
    </row>
    <row r="52" spans="1:8" s="4" customFormat="1" ht="21.75" hidden="1" customHeight="1">
      <c r="A52" s="46"/>
      <c r="B52" s="11">
        <v>230</v>
      </c>
      <c r="C52" s="14"/>
      <c r="D52" s="13">
        <f t="shared" si="2"/>
        <v>0</v>
      </c>
      <c r="E52" s="13"/>
      <c r="F52" s="13"/>
      <c r="G52" s="16" t="e">
        <f t="shared" si="1"/>
        <v>#DIV/0!</v>
      </c>
    </row>
    <row r="53" spans="1:8" s="4" customFormat="1" ht="19.5" customHeight="1">
      <c r="A53" s="60" t="s">
        <v>100</v>
      </c>
      <c r="B53" s="11">
        <v>230</v>
      </c>
      <c r="C53" s="13">
        <v>158.80000000000001</v>
      </c>
      <c r="D53" s="13">
        <f t="shared" si="2"/>
        <v>110.8</v>
      </c>
      <c r="E53" s="13">
        <f>115.1+5</f>
        <v>120.1</v>
      </c>
      <c r="F53" s="13">
        <v>110.8</v>
      </c>
      <c r="G53" s="13">
        <f t="shared" si="1"/>
        <v>92.256452955870103</v>
      </c>
      <c r="H53" s="4" t="s">
        <v>136</v>
      </c>
    </row>
    <row r="54" spans="1:8" s="4" customFormat="1" ht="12.75" hidden="1" customHeight="1">
      <c r="A54" s="60" t="s">
        <v>41</v>
      </c>
      <c r="B54" s="11">
        <v>143</v>
      </c>
      <c r="C54" s="13"/>
      <c r="D54" s="13">
        <f t="shared" si="2"/>
        <v>0</v>
      </c>
      <c r="E54" s="13"/>
      <c r="F54" s="13"/>
      <c r="G54" s="13" t="e">
        <f t="shared" si="1"/>
        <v>#DIV/0!</v>
      </c>
    </row>
    <row r="55" spans="1:8" s="4" customFormat="1" ht="17.25" hidden="1" customHeight="1">
      <c r="A55" s="46" t="s">
        <v>47</v>
      </c>
      <c r="B55" s="11">
        <v>150</v>
      </c>
      <c r="C55" s="14"/>
      <c r="D55" s="13">
        <f t="shared" si="2"/>
        <v>0</v>
      </c>
      <c r="E55" s="13"/>
      <c r="F55" s="13"/>
      <c r="G55" s="13" t="e">
        <f t="shared" si="1"/>
        <v>#DIV/0!</v>
      </c>
    </row>
    <row r="56" spans="1:8" s="4" customFormat="1" ht="16.5" customHeight="1">
      <c r="A56" s="60" t="s">
        <v>101</v>
      </c>
      <c r="B56" s="11">
        <v>240</v>
      </c>
      <c r="C56" s="13">
        <v>864.8</v>
      </c>
      <c r="D56" s="13">
        <f t="shared" si="2"/>
        <v>3705.5</v>
      </c>
      <c r="E56" s="13">
        <f>3908.5-520-11.1+16.3+4</f>
        <v>3397.7000000000003</v>
      </c>
      <c r="F56" s="13">
        <v>3705.5</v>
      </c>
      <c r="G56" s="13">
        <f t="shared" si="1"/>
        <v>109.05906937045648</v>
      </c>
    </row>
    <row r="57" spans="1:8" s="4" customFormat="1" ht="19.5" customHeight="1">
      <c r="A57" s="60" t="s">
        <v>127</v>
      </c>
      <c r="B57" s="11">
        <v>250</v>
      </c>
      <c r="C57" s="13">
        <v>133.9</v>
      </c>
      <c r="D57" s="13">
        <f t="shared" si="2"/>
        <v>193.9</v>
      </c>
      <c r="E57" s="13">
        <f>210</f>
        <v>210</v>
      </c>
      <c r="F57" s="13">
        <v>193.9</v>
      </c>
      <c r="G57" s="13">
        <f t="shared" si="1"/>
        <v>92.333333333333329</v>
      </c>
    </row>
    <row r="58" spans="1:8" s="4" customFormat="1" ht="19.5" customHeight="1">
      <c r="A58" s="60" t="s">
        <v>86</v>
      </c>
      <c r="B58" s="11">
        <v>260</v>
      </c>
      <c r="C58" s="12">
        <f>C59+C60+C61+C62+C63</f>
        <v>670.40000000000009</v>
      </c>
      <c r="D58" s="12">
        <f>D59+D60+D61+D62+D63</f>
        <v>859.90000000000009</v>
      </c>
      <c r="E58" s="12">
        <f>E59+E60+E61+E62+E63</f>
        <v>862.80000000000007</v>
      </c>
      <c r="F58" s="12">
        <f>F59+F60+F61+F62+F63</f>
        <v>859.90000000000009</v>
      </c>
      <c r="G58" s="13">
        <f t="shared" si="1"/>
        <v>99.663885025498374</v>
      </c>
    </row>
    <row r="59" spans="1:8" s="4" customFormat="1" ht="19.5" customHeight="1">
      <c r="A59" s="62" t="s">
        <v>34</v>
      </c>
      <c r="B59" s="51">
        <v>261</v>
      </c>
      <c r="C59" s="13">
        <v>64.400000000000006</v>
      </c>
      <c r="D59" s="13">
        <f>F59</f>
        <v>97.4</v>
      </c>
      <c r="E59" s="13">
        <v>100</v>
      </c>
      <c r="F59" s="13">
        <v>97.4</v>
      </c>
      <c r="G59" s="13">
        <f t="shared" si="1"/>
        <v>97.4</v>
      </c>
    </row>
    <row r="60" spans="1:8" s="4" customFormat="1" ht="19.5" customHeight="1">
      <c r="A60" s="62" t="s">
        <v>38</v>
      </c>
      <c r="B60" s="51">
        <v>262</v>
      </c>
      <c r="C60" s="13">
        <v>4.3</v>
      </c>
      <c r="D60" s="13">
        <f>F60</f>
        <v>6.8</v>
      </c>
      <c r="E60" s="13">
        <v>7.1</v>
      </c>
      <c r="F60" s="13">
        <v>6.8</v>
      </c>
      <c r="G60" s="13">
        <f t="shared" si="1"/>
        <v>95.774647887323951</v>
      </c>
    </row>
    <row r="61" spans="1:8" s="4" customFormat="1" ht="19.5" customHeight="1">
      <c r="A61" s="62" t="s">
        <v>87</v>
      </c>
      <c r="B61" s="51">
        <v>263</v>
      </c>
      <c r="C61" s="13"/>
      <c r="D61" s="13">
        <f>F61</f>
        <v>0</v>
      </c>
      <c r="E61" s="13">
        <v>0</v>
      </c>
      <c r="F61" s="13">
        <v>0</v>
      </c>
      <c r="G61" s="13">
        <v>0</v>
      </c>
    </row>
    <row r="62" spans="1:8" s="4" customFormat="1" ht="19.5" customHeight="1">
      <c r="A62" s="62" t="s">
        <v>139</v>
      </c>
      <c r="B62" s="51">
        <v>264</v>
      </c>
      <c r="C62" s="13">
        <v>601.70000000000005</v>
      </c>
      <c r="D62" s="13">
        <f>F62</f>
        <v>755.7</v>
      </c>
      <c r="E62" s="13">
        <v>755.7</v>
      </c>
      <c r="F62" s="13">
        <v>755.7</v>
      </c>
      <c r="G62" s="13">
        <f>F62/E62*100</f>
        <v>100</v>
      </c>
    </row>
    <row r="63" spans="1:8" s="4" customFormat="1" ht="17.25" customHeight="1">
      <c r="A63" s="62" t="s">
        <v>137</v>
      </c>
      <c r="B63" s="51">
        <v>265</v>
      </c>
      <c r="C63" s="13"/>
      <c r="D63" s="13">
        <f>F63</f>
        <v>0</v>
      </c>
      <c r="E63" s="13">
        <v>0</v>
      </c>
      <c r="F63" s="13">
        <v>0</v>
      </c>
      <c r="G63" s="13">
        <v>0</v>
      </c>
    </row>
    <row r="64" spans="1:8" s="4" customFormat="1" ht="1.5" hidden="1" customHeight="1">
      <c r="A64" s="60" t="s">
        <v>102</v>
      </c>
      <c r="B64" s="11">
        <v>280</v>
      </c>
      <c r="C64" s="13"/>
      <c r="D64" s="13">
        <f>E64</f>
        <v>0</v>
      </c>
      <c r="E64" s="13"/>
      <c r="F64" s="13"/>
      <c r="G64" s="13"/>
    </row>
    <row r="65" spans="1:7" s="4" customFormat="1" ht="19.5" hidden="1" customHeight="1">
      <c r="A65" s="60" t="s">
        <v>103</v>
      </c>
      <c r="B65" s="11">
        <v>290</v>
      </c>
      <c r="C65" s="13"/>
      <c r="D65" s="13">
        <f>E65</f>
        <v>0</v>
      </c>
      <c r="E65" s="13"/>
      <c r="F65" s="13"/>
      <c r="G65" s="13"/>
    </row>
    <row r="66" spans="1:7" s="4" customFormat="1" ht="17.25" customHeight="1">
      <c r="A66" s="63" t="s">
        <v>104</v>
      </c>
      <c r="B66" s="50">
        <v>300</v>
      </c>
      <c r="C66" s="12">
        <f>C72+C73+C79+C80+C81+C82+C83+C84+C85+C86</f>
        <v>150</v>
      </c>
      <c r="D66" s="12">
        <f>D72+D73+D79+D86</f>
        <v>119.4</v>
      </c>
      <c r="E66" s="12">
        <f>E72+E73+E79+E80+E81+E82+E83+E84+E85+E86</f>
        <v>122.2</v>
      </c>
      <c r="F66" s="12">
        <f>F72+F73+F79+F80+F81+F82+F83+F84+F85+F86</f>
        <v>119.4</v>
      </c>
      <c r="G66" s="13">
        <f t="shared" si="1"/>
        <v>97.708674304418992</v>
      </c>
    </row>
    <row r="67" spans="1:7" s="4" customFormat="1" ht="19.5" hidden="1" customHeight="1">
      <c r="A67" s="62" t="s">
        <v>34</v>
      </c>
      <c r="B67" s="51">
        <v>161</v>
      </c>
      <c r="C67" s="13"/>
      <c r="D67" s="13">
        <f>E67</f>
        <v>0</v>
      </c>
      <c r="E67" s="13"/>
      <c r="F67" s="13"/>
      <c r="G67" s="13" t="e">
        <f t="shared" si="1"/>
        <v>#DIV/0!</v>
      </c>
    </row>
    <row r="68" spans="1:7" s="4" customFormat="1" ht="19.5" hidden="1" customHeight="1">
      <c r="A68" s="62" t="s">
        <v>38</v>
      </c>
      <c r="B68" s="51">
        <v>162</v>
      </c>
      <c r="C68" s="13"/>
      <c r="D68" s="13">
        <f>E68</f>
        <v>0</v>
      </c>
      <c r="E68" s="13"/>
      <c r="F68" s="13"/>
      <c r="G68" s="13" t="e">
        <f t="shared" si="1"/>
        <v>#DIV/0!</v>
      </c>
    </row>
    <row r="69" spans="1:7" s="4" customFormat="1" ht="19.5" hidden="1" customHeight="1">
      <c r="A69" s="62" t="s">
        <v>39</v>
      </c>
      <c r="B69" s="51">
        <v>163</v>
      </c>
      <c r="C69" s="13"/>
      <c r="D69" s="13">
        <f>E69</f>
        <v>0</v>
      </c>
      <c r="E69" s="13"/>
      <c r="F69" s="13"/>
      <c r="G69" s="13" t="e">
        <f t="shared" si="1"/>
        <v>#DIV/0!</v>
      </c>
    </row>
    <row r="70" spans="1:7" s="4" customFormat="1" ht="19.5" hidden="1" customHeight="1">
      <c r="A70" s="62" t="s">
        <v>40</v>
      </c>
      <c r="B70" s="51">
        <v>164</v>
      </c>
      <c r="C70" s="13"/>
      <c r="D70" s="13">
        <f>E70</f>
        <v>0</v>
      </c>
      <c r="E70" s="13"/>
      <c r="F70" s="13"/>
      <c r="G70" s="13" t="e">
        <f t="shared" si="1"/>
        <v>#DIV/0!</v>
      </c>
    </row>
    <row r="71" spans="1:7" s="4" customFormat="1" ht="19.5" hidden="1" customHeight="1">
      <c r="A71" s="62" t="s">
        <v>42</v>
      </c>
      <c r="B71" s="51">
        <v>165</v>
      </c>
      <c r="C71" s="13"/>
      <c r="D71" s="13">
        <f>E71</f>
        <v>0</v>
      </c>
      <c r="E71" s="13"/>
      <c r="F71" s="13"/>
      <c r="G71" s="13" t="e">
        <f t="shared" si="1"/>
        <v>#DIV/0!</v>
      </c>
    </row>
    <row r="72" spans="1:7" s="4" customFormat="1" ht="18" customHeight="1">
      <c r="A72" s="60" t="s">
        <v>105</v>
      </c>
      <c r="B72" s="11">
        <v>307</v>
      </c>
      <c r="C72" s="13">
        <v>2.5</v>
      </c>
      <c r="D72" s="13">
        <f>F72</f>
        <v>0</v>
      </c>
      <c r="E72" s="13">
        <v>0</v>
      </c>
      <c r="F72" s="13"/>
      <c r="G72" s="13"/>
    </row>
    <row r="73" spans="1:7" s="4" customFormat="1" ht="19.5" customHeight="1">
      <c r="A73" s="60" t="s">
        <v>128</v>
      </c>
      <c r="B73" s="11">
        <v>308</v>
      </c>
      <c r="C73" s="13">
        <v>25.5</v>
      </c>
      <c r="D73" s="13">
        <f t="shared" ref="D73:D85" si="3">F73</f>
        <v>84.7</v>
      </c>
      <c r="E73" s="13">
        <f>70.2+15.8</f>
        <v>86</v>
      </c>
      <c r="F73" s="13">
        <v>84.7</v>
      </c>
      <c r="G73" s="13">
        <f t="shared" si="1"/>
        <v>98.488372093023258</v>
      </c>
    </row>
    <row r="74" spans="1:7" s="4" customFormat="1" ht="2.25" hidden="1" customHeight="1">
      <c r="A74" s="60"/>
      <c r="B74" s="11">
        <v>308</v>
      </c>
      <c r="C74" s="13"/>
      <c r="D74" s="13">
        <f t="shared" si="3"/>
        <v>0</v>
      </c>
      <c r="E74" s="13"/>
      <c r="F74" s="13"/>
      <c r="G74" s="13"/>
    </row>
    <row r="75" spans="1:7" s="4" customFormat="1" ht="19.5" hidden="1" customHeight="1">
      <c r="A75" s="46" t="s">
        <v>107</v>
      </c>
      <c r="B75" s="11">
        <v>310</v>
      </c>
      <c r="C75" s="13"/>
      <c r="D75" s="13">
        <f t="shared" si="3"/>
        <v>0</v>
      </c>
      <c r="E75" s="13"/>
      <c r="F75" s="13"/>
      <c r="G75" s="13"/>
    </row>
    <row r="76" spans="1:7" s="4" customFormat="1" ht="19.5" hidden="1" customHeight="1">
      <c r="A76" s="46" t="s">
        <v>108</v>
      </c>
      <c r="B76" s="11">
        <v>305</v>
      </c>
      <c r="C76" s="13"/>
      <c r="D76" s="13">
        <f t="shared" si="3"/>
        <v>0</v>
      </c>
      <c r="E76" s="13"/>
      <c r="F76" s="13"/>
      <c r="G76" s="13"/>
    </row>
    <row r="77" spans="1:7" s="4" customFormat="1" ht="19.5" hidden="1" customHeight="1">
      <c r="A77" s="46" t="s">
        <v>131</v>
      </c>
      <c r="B77" s="11">
        <v>306</v>
      </c>
      <c r="C77" s="13"/>
      <c r="D77" s="13">
        <f t="shared" si="3"/>
        <v>0</v>
      </c>
      <c r="E77" s="13"/>
      <c r="F77" s="13"/>
      <c r="G77" s="13"/>
    </row>
    <row r="78" spans="1:7" s="4" customFormat="1" ht="19.5" hidden="1" customHeight="1">
      <c r="A78" s="46" t="s">
        <v>132</v>
      </c>
      <c r="B78" s="11">
        <v>307</v>
      </c>
      <c r="C78" s="13"/>
      <c r="D78" s="13">
        <f t="shared" si="3"/>
        <v>0</v>
      </c>
      <c r="E78" s="13"/>
      <c r="F78" s="13"/>
      <c r="G78" s="13"/>
    </row>
    <row r="79" spans="1:7" s="4" customFormat="1" ht="18" customHeight="1">
      <c r="A79" s="60" t="s">
        <v>125</v>
      </c>
      <c r="B79" s="11">
        <v>309</v>
      </c>
      <c r="C79" s="13">
        <v>122</v>
      </c>
      <c r="D79" s="13">
        <f t="shared" si="3"/>
        <v>33.5</v>
      </c>
      <c r="E79" s="13">
        <v>35</v>
      </c>
      <c r="F79" s="13">
        <v>33.5</v>
      </c>
      <c r="G79" s="13">
        <f t="shared" si="1"/>
        <v>95.714285714285722</v>
      </c>
    </row>
    <row r="80" spans="1:7" s="4" customFormat="1" ht="15.75" hidden="1" customHeight="1">
      <c r="A80" s="60" t="s">
        <v>107</v>
      </c>
      <c r="B80" s="11">
        <v>309</v>
      </c>
      <c r="C80" s="13"/>
      <c r="D80" s="13">
        <f t="shared" si="3"/>
        <v>0</v>
      </c>
      <c r="E80" s="13"/>
      <c r="F80" s="13"/>
      <c r="G80" s="13" t="e">
        <f t="shared" si="1"/>
        <v>#DIV/0!</v>
      </c>
    </row>
    <row r="81" spans="1:8" s="4" customFormat="1" ht="22.5" hidden="1" customHeight="1">
      <c r="A81" s="60"/>
      <c r="B81" s="11">
        <v>310</v>
      </c>
      <c r="C81" s="13"/>
      <c r="D81" s="13">
        <f t="shared" si="3"/>
        <v>0</v>
      </c>
      <c r="E81" s="13"/>
      <c r="F81" s="13"/>
      <c r="G81" s="13" t="e">
        <f t="shared" si="1"/>
        <v>#DIV/0!</v>
      </c>
    </row>
    <row r="82" spans="1:8" s="4" customFormat="1" ht="15.75" hidden="1" customHeight="1">
      <c r="A82" s="60"/>
      <c r="B82" s="11">
        <v>311</v>
      </c>
      <c r="C82" s="13"/>
      <c r="D82" s="13">
        <f t="shared" si="3"/>
        <v>0</v>
      </c>
      <c r="E82" s="13"/>
      <c r="F82" s="13"/>
      <c r="G82" s="13" t="e">
        <f t="shared" si="1"/>
        <v>#DIV/0!</v>
      </c>
      <c r="H82" s="5"/>
    </row>
    <row r="83" spans="1:8" ht="15" hidden="1" customHeight="1">
      <c r="A83" s="60"/>
      <c r="B83" s="11">
        <v>312</v>
      </c>
      <c r="C83" s="13"/>
      <c r="D83" s="13">
        <f t="shared" si="3"/>
        <v>0</v>
      </c>
      <c r="E83" s="13"/>
      <c r="F83" s="13"/>
      <c r="G83" s="13" t="e">
        <f t="shared" si="1"/>
        <v>#DIV/0!</v>
      </c>
    </row>
    <row r="84" spans="1:8" ht="15.75" hidden="1" customHeight="1">
      <c r="A84" s="60"/>
      <c r="B84" s="11">
        <v>313</v>
      </c>
      <c r="C84" s="13"/>
      <c r="D84" s="13">
        <f t="shared" si="3"/>
        <v>0</v>
      </c>
      <c r="E84" s="13"/>
      <c r="F84" s="13"/>
      <c r="G84" s="13" t="e">
        <f t="shared" si="1"/>
        <v>#DIV/0!</v>
      </c>
    </row>
    <row r="85" spans="1:8" ht="0.75" hidden="1" customHeight="1">
      <c r="A85" s="60" t="s">
        <v>133</v>
      </c>
      <c r="B85" s="11">
        <v>309</v>
      </c>
      <c r="C85" s="13"/>
      <c r="D85" s="13">
        <f t="shared" si="3"/>
        <v>0</v>
      </c>
      <c r="E85" s="13"/>
      <c r="F85" s="13"/>
      <c r="G85" s="13" t="e">
        <f t="shared" si="1"/>
        <v>#DIV/0!</v>
      </c>
    </row>
    <row r="86" spans="1:8" ht="19.5" customHeight="1">
      <c r="A86" s="60" t="s">
        <v>17</v>
      </c>
      <c r="B86" s="11">
        <v>310</v>
      </c>
      <c r="C86" s="13"/>
      <c r="D86" s="13">
        <f>E86</f>
        <v>1.2</v>
      </c>
      <c r="E86" s="13">
        <v>1.2</v>
      </c>
      <c r="F86" s="13">
        <v>1.2</v>
      </c>
      <c r="G86" s="13"/>
      <c r="H86" s="6"/>
    </row>
    <row r="87" spans="1:8" s="4" customFormat="1" ht="20.100000000000001" customHeight="1">
      <c r="A87" s="63" t="s">
        <v>109</v>
      </c>
      <c r="B87" s="47">
        <v>320</v>
      </c>
      <c r="C87" s="12">
        <v>0</v>
      </c>
      <c r="D87" s="13">
        <f>E87</f>
        <v>0</v>
      </c>
      <c r="E87" s="15">
        <v>0</v>
      </c>
      <c r="F87" s="12">
        <v>0</v>
      </c>
      <c r="G87" s="12">
        <v>0</v>
      </c>
      <c r="H87" s="7"/>
    </row>
    <row r="88" spans="1:8" s="4" customFormat="1" ht="20.100000000000001" customHeight="1">
      <c r="A88" s="63" t="s">
        <v>110</v>
      </c>
      <c r="B88" s="47">
        <v>330</v>
      </c>
      <c r="C88" s="12">
        <v>258.60000000000002</v>
      </c>
      <c r="D88" s="12">
        <v>373.7</v>
      </c>
      <c r="E88" s="61">
        <v>373.7</v>
      </c>
      <c r="F88" s="12">
        <v>373.7</v>
      </c>
      <c r="G88" s="13">
        <f t="shared" si="1"/>
        <v>100</v>
      </c>
      <c r="H88" s="7"/>
    </row>
    <row r="89" spans="1:8" s="4" customFormat="1" ht="19.5" customHeight="1">
      <c r="A89" s="63" t="s">
        <v>111</v>
      </c>
      <c r="B89" s="47">
        <v>340</v>
      </c>
      <c r="C89" s="12">
        <f>C91+C92+C94+C96+C93</f>
        <v>585.4</v>
      </c>
      <c r="D89" s="12">
        <f>D91+D92+D94+D96+D93</f>
        <v>542.80000000000007</v>
      </c>
      <c r="E89" s="12">
        <f>E91+E92+E94+E96+E93</f>
        <v>579</v>
      </c>
      <c r="F89" s="12">
        <f>F91+F92+F94+F96+F93</f>
        <v>542.80000000000007</v>
      </c>
      <c r="G89" s="13">
        <f t="shared" si="1"/>
        <v>93.74784110535407</v>
      </c>
      <c r="H89" s="7"/>
    </row>
    <row r="90" spans="1:8" s="44" customFormat="1" ht="0.75" hidden="1" customHeight="1">
      <c r="A90" s="63" t="s">
        <v>97</v>
      </c>
      <c r="B90" s="47"/>
      <c r="C90" s="12">
        <f>C91+C92+C93+C96</f>
        <v>579.79999999999995</v>
      </c>
      <c r="D90" s="13">
        <f>E90</f>
        <v>93.3</v>
      </c>
      <c r="E90" s="12">
        <f>E92+E93+E95+E97+E94</f>
        <v>93.3</v>
      </c>
      <c r="F90" s="12">
        <f>F91+F92+F93+F96</f>
        <v>536.40000000000009</v>
      </c>
      <c r="G90" s="13">
        <f t="shared" si="1"/>
        <v>574.91961414791012</v>
      </c>
    </row>
    <row r="91" spans="1:8" s="4" customFormat="1" ht="20.100000000000001" customHeight="1">
      <c r="A91" s="62" t="s">
        <v>3</v>
      </c>
      <c r="B91" s="49">
        <v>341</v>
      </c>
      <c r="C91" s="13">
        <v>487.4</v>
      </c>
      <c r="D91" s="13">
        <f>F91</f>
        <v>455.1</v>
      </c>
      <c r="E91" s="13">
        <v>485.7</v>
      </c>
      <c r="F91" s="13">
        <v>455.1</v>
      </c>
      <c r="G91" s="13">
        <f t="shared" si="1"/>
        <v>93.69981470043237</v>
      </c>
      <c r="H91" s="7"/>
    </row>
    <row r="92" spans="1:8" s="4" customFormat="1" ht="20.100000000000001" customHeight="1">
      <c r="A92" s="62" t="s">
        <v>98</v>
      </c>
      <c r="B92" s="49">
        <v>342</v>
      </c>
      <c r="C92" s="13">
        <v>91.9</v>
      </c>
      <c r="D92" s="13">
        <f>F92</f>
        <v>81.2</v>
      </c>
      <c r="E92" s="13">
        <v>85.7</v>
      </c>
      <c r="F92" s="13">
        <v>81.2</v>
      </c>
      <c r="G92" s="13">
        <f t="shared" si="1"/>
        <v>94.749124854142352</v>
      </c>
      <c r="H92" s="7"/>
    </row>
    <row r="93" spans="1:8" s="4" customFormat="1" ht="20.100000000000001" customHeight="1">
      <c r="A93" s="62" t="s">
        <v>100</v>
      </c>
      <c r="B93" s="49">
        <v>343</v>
      </c>
      <c r="C93" s="13"/>
      <c r="D93" s="13">
        <f>F93</f>
        <v>0</v>
      </c>
      <c r="E93" s="15">
        <v>0</v>
      </c>
      <c r="F93" s="13">
        <v>0</v>
      </c>
      <c r="G93" s="13">
        <v>0</v>
      </c>
      <c r="H93" s="7"/>
    </row>
    <row r="94" spans="1:8" s="4" customFormat="1" ht="20.100000000000001" customHeight="1">
      <c r="A94" s="62" t="s">
        <v>126</v>
      </c>
      <c r="B94" s="48">
        <v>344</v>
      </c>
      <c r="C94" s="13">
        <v>5.6</v>
      </c>
      <c r="D94" s="13">
        <f>F94</f>
        <v>6.4</v>
      </c>
      <c r="E94" s="13">
        <v>7.5</v>
      </c>
      <c r="F94" s="13">
        <v>6.4</v>
      </c>
      <c r="G94" s="13">
        <f t="shared" si="1"/>
        <v>85.333333333333343</v>
      </c>
      <c r="H94" s="7"/>
    </row>
    <row r="95" spans="1:8" s="4" customFormat="1" ht="20.100000000000001" customHeight="1">
      <c r="A95" s="62" t="s">
        <v>103</v>
      </c>
      <c r="B95" s="48">
        <v>345</v>
      </c>
      <c r="C95" s="13"/>
      <c r="D95" s="13">
        <f>E95</f>
        <v>0</v>
      </c>
      <c r="E95" s="13"/>
      <c r="F95" s="13"/>
      <c r="G95" s="13"/>
      <c r="H95" s="7"/>
    </row>
    <row r="96" spans="1:8" s="4" customFormat="1" ht="20.100000000000001" customHeight="1">
      <c r="A96" s="63" t="s">
        <v>104</v>
      </c>
      <c r="B96" s="47">
        <v>350</v>
      </c>
      <c r="C96" s="12">
        <f>C97+C99+C100</f>
        <v>0.5</v>
      </c>
      <c r="D96" s="12">
        <f>D97+D99+D100</f>
        <v>0.1</v>
      </c>
      <c r="E96" s="12">
        <f>E97+E99+E100</f>
        <v>0.1</v>
      </c>
      <c r="F96" s="12">
        <f>F97+F99+F100</f>
        <v>0.1</v>
      </c>
      <c r="G96" s="13">
        <f>F96/E96*100</f>
        <v>100</v>
      </c>
      <c r="H96" s="7"/>
    </row>
    <row r="97" spans="1:8" s="4" customFormat="1" ht="16.5" customHeight="1">
      <c r="A97" s="60" t="s">
        <v>105</v>
      </c>
      <c r="B97" s="48">
        <v>351</v>
      </c>
      <c r="C97" s="13">
        <v>0.5</v>
      </c>
      <c r="D97" s="13">
        <v>0.1</v>
      </c>
      <c r="E97" s="13">
        <v>0.1</v>
      </c>
      <c r="F97" s="13">
        <v>0.1</v>
      </c>
      <c r="G97" s="13">
        <f>F97/E97*100</f>
        <v>100</v>
      </c>
      <c r="H97" s="7"/>
    </row>
    <row r="98" spans="1:8" s="4" customFormat="1" ht="12.75" hidden="1" customHeight="1">
      <c r="A98" s="60" t="s">
        <v>106</v>
      </c>
      <c r="B98" s="48">
        <v>352</v>
      </c>
      <c r="C98" s="13"/>
      <c r="D98" s="13">
        <f>E98</f>
        <v>0</v>
      </c>
      <c r="E98" s="13"/>
      <c r="F98" s="13"/>
      <c r="G98" s="13"/>
      <c r="H98" s="7"/>
    </row>
    <row r="99" spans="1:8" s="4" customFormat="1" ht="20.25" hidden="1" customHeight="1">
      <c r="A99" s="62" t="s">
        <v>107</v>
      </c>
      <c r="B99" s="53">
        <v>353</v>
      </c>
      <c r="C99" s="13"/>
      <c r="D99" s="13">
        <f>E99</f>
        <v>0</v>
      </c>
      <c r="E99" s="13"/>
      <c r="F99" s="13"/>
      <c r="G99" s="13" t="e">
        <f t="shared" si="1"/>
        <v>#DIV/0!</v>
      </c>
      <c r="H99" s="7"/>
    </row>
    <row r="100" spans="1:8" s="4" customFormat="1" ht="19.5" hidden="1" customHeight="1">
      <c r="A100" s="60" t="s">
        <v>108</v>
      </c>
      <c r="B100" s="53">
        <v>354</v>
      </c>
      <c r="C100" s="13"/>
      <c r="D100" s="13">
        <f>E100</f>
        <v>0</v>
      </c>
      <c r="E100" s="13"/>
      <c r="F100" s="13"/>
      <c r="G100" s="13" t="e">
        <f t="shared" si="1"/>
        <v>#DIV/0!</v>
      </c>
      <c r="H100" s="7"/>
    </row>
    <row r="101" spans="1:8" s="4" customFormat="1" ht="20.100000000000001" customHeight="1">
      <c r="A101" s="63" t="s">
        <v>110</v>
      </c>
      <c r="B101" s="47">
        <v>360</v>
      </c>
      <c r="C101" s="12">
        <v>8.1</v>
      </c>
      <c r="D101" s="12">
        <v>6.8</v>
      </c>
      <c r="E101" s="12">
        <v>6.8</v>
      </c>
      <c r="F101" s="12">
        <v>6.8</v>
      </c>
      <c r="G101" s="13">
        <f t="shared" si="1"/>
        <v>100</v>
      </c>
    </row>
    <row r="102" spans="1:8" s="4" customFormat="1" ht="20.100000000000001" customHeight="1">
      <c r="A102" s="103" t="s">
        <v>50</v>
      </c>
      <c r="B102" s="100"/>
      <c r="C102" s="100"/>
      <c r="D102" s="100"/>
      <c r="E102" s="100"/>
      <c r="F102" s="100"/>
      <c r="G102" s="101"/>
    </row>
    <row r="103" spans="1:8" s="4" customFormat="1" ht="20.100000000000001" customHeight="1">
      <c r="A103" s="60" t="s">
        <v>51</v>
      </c>
      <c r="B103" s="25">
        <v>400</v>
      </c>
      <c r="C103" s="13">
        <f>C53+C56+C55+C58+C93+C95</f>
        <v>1694</v>
      </c>
      <c r="D103" s="13">
        <f>D53+D56+D55+D58+D93+D95</f>
        <v>4676.2000000000007</v>
      </c>
      <c r="E103" s="13">
        <f>E53+E56+E55+E58+E93+E95</f>
        <v>4380.6000000000004</v>
      </c>
      <c r="F103" s="13">
        <f>F53+F56+F55+F58+F93+F95</f>
        <v>4676.2000000000007</v>
      </c>
      <c r="G103" s="13">
        <f t="shared" si="1"/>
        <v>106.74793407295805</v>
      </c>
    </row>
    <row r="104" spans="1:8" s="4" customFormat="1" ht="20.100000000000001" customHeight="1">
      <c r="A104" s="60" t="s">
        <v>3</v>
      </c>
      <c r="B104" s="25">
        <v>410</v>
      </c>
      <c r="C104" s="13">
        <f>C50+C91</f>
        <v>4640.2</v>
      </c>
      <c r="D104" s="13">
        <f t="shared" ref="D104:F105" si="4">D50+D91</f>
        <v>4628.8</v>
      </c>
      <c r="E104" s="13">
        <f t="shared" si="4"/>
        <v>4905.7</v>
      </c>
      <c r="F104" s="13">
        <f t="shared" si="4"/>
        <v>4628.8</v>
      </c>
      <c r="G104" s="13">
        <f t="shared" si="1"/>
        <v>94.355545589824089</v>
      </c>
    </row>
    <row r="105" spans="1:8" s="4" customFormat="1" ht="19.5" customHeight="1">
      <c r="A105" s="60" t="s">
        <v>98</v>
      </c>
      <c r="B105" s="25">
        <v>420</v>
      </c>
      <c r="C105" s="13">
        <f>C51+C92</f>
        <v>933.9</v>
      </c>
      <c r="D105" s="13">
        <f t="shared" si="4"/>
        <v>943.7</v>
      </c>
      <c r="E105" s="13">
        <f>E51+E92</f>
        <v>1010.9000000000001</v>
      </c>
      <c r="F105" s="13">
        <f t="shared" si="4"/>
        <v>943.7</v>
      </c>
      <c r="G105" s="13">
        <f t="shared" si="1"/>
        <v>93.352458205559401</v>
      </c>
    </row>
    <row r="106" spans="1:8" s="4" customFormat="1" ht="19.5" hidden="1" customHeight="1">
      <c r="A106" s="60" t="s">
        <v>99</v>
      </c>
      <c r="B106" s="25">
        <v>430</v>
      </c>
      <c r="C106" s="13">
        <f>C52</f>
        <v>0</v>
      </c>
      <c r="D106" s="13">
        <f>D52</f>
        <v>0</v>
      </c>
      <c r="E106" s="13">
        <v>0</v>
      </c>
      <c r="F106" s="13">
        <f>F52</f>
        <v>0</v>
      </c>
      <c r="G106" s="13">
        <v>0</v>
      </c>
    </row>
    <row r="107" spans="1:8" s="4" customFormat="1" ht="20.100000000000001" customHeight="1">
      <c r="A107" s="60" t="s">
        <v>17</v>
      </c>
      <c r="B107" s="25">
        <v>440</v>
      </c>
      <c r="C107" s="13">
        <f>C66+C96+C57+C94</f>
        <v>290</v>
      </c>
      <c r="D107" s="13">
        <f>F107</f>
        <v>319.79999999999995</v>
      </c>
      <c r="E107" s="13">
        <f>E66+E96+E57+E94</f>
        <v>339.8</v>
      </c>
      <c r="F107" s="13">
        <f>F66+F96+F57+F94</f>
        <v>319.79999999999995</v>
      </c>
      <c r="G107" s="13">
        <f t="shared" si="1"/>
        <v>94.114184814596797</v>
      </c>
    </row>
    <row r="108" spans="1:8" s="4" customFormat="1" ht="20.100000000000001" customHeight="1">
      <c r="A108" s="60" t="s">
        <v>109</v>
      </c>
      <c r="B108" s="25">
        <v>450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</row>
    <row r="109" spans="1:8" s="4" customFormat="1" ht="21.6" customHeight="1">
      <c r="A109" s="60" t="s">
        <v>110</v>
      </c>
      <c r="B109" s="25">
        <v>460</v>
      </c>
      <c r="C109" s="13">
        <v>468.8</v>
      </c>
      <c r="D109" s="13">
        <f>D88+D101</f>
        <v>380.5</v>
      </c>
      <c r="E109" s="13">
        <v>380.5</v>
      </c>
      <c r="F109" s="13">
        <f>F88+F101</f>
        <v>380.5</v>
      </c>
      <c r="G109" s="13">
        <f t="shared" si="1"/>
        <v>100</v>
      </c>
    </row>
    <row r="110" spans="1:8" s="4" customFormat="1" ht="20.100000000000001" customHeight="1">
      <c r="A110" s="63" t="s">
        <v>129</v>
      </c>
      <c r="B110" s="52"/>
      <c r="C110" s="12">
        <f>SUM(C103:C108)</f>
        <v>7558.0999999999995</v>
      </c>
      <c r="D110" s="12">
        <f>SUM(D103:D108)</f>
        <v>10568.5</v>
      </c>
      <c r="E110" s="12">
        <f>SUM(E103:E108)</f>
        <v>10636.999999999998</v>
      </c>
      <c r="F110" s="12">
        <f>SUM(F103:F108)</f>
        <v>10568.5</v>
      </c>
      <c r="G110" s="12">
        <f>F110/E110*100</f>
        <v>99.356021434615045</v>
      </c>
    </row>
    <row r="111" spans="1:8" s="4" customFormat="1" ht="20.100000000000001" customHeight="1">
      <c r="A111" s="103" t="s">
        <v>53</v>
      </c>
      <c r="B111" s="100"/>
      <c r="C111" s="100"/>
      <c r="D111" s="100"/>
      <c r="E111" s="100"/>
      <c r="F111" s="100"/>
      <c r="G111" s="101"/>
    </row>
    <row r="112" spans="1:8" s="4" customFormat="1" ht="20.100000000000001" customHeight="1">
      <c r="A112" s="60" t="s">
        <v>56</v>
      </c>
      <c r="B112" s="25">
        <v>500</v>
      </c>
      <c r="C112" s="22">
        <v>0</v>
      </c>
      <c r="D112" s="22">
        <v>0</v>
      </c>
      <c r="E112" s="13">
        <v>0</v>
      </c>
      <c r="F112" s="13">
        <f>SUM(F113)</f>
        <v>0</v>
      </c>
      <c r="G112" s="13">
        <f>SUM(G113)</f>
        <v>0</v>
      </c>
    </row>
    <row r="113" spans="1:7" s="4" customFormat="1" ht="20.100000000000001" customHeight="1">
      <c r="A113" s="60" t="s">
        <v>52</v>
      </c>
      <c r="B113" s="53">
        <v>501</v>
      </c>
      <c r="C113" s="32">
        <v>0</v>
      </c>
      <c r="D113" s="22">
        <v>0</v>
      </c>
      <c r="E113" s="13">
        <v>0</v>
      </c>
      <c r="F113" s="22">
        <v>0</v>
      </c>
      <c r="G113" s="22">
        <v>0</v>
      </c>
    </row>
    <row r="114" spans="1:7" s="4" customFormat="1" ht="20.100000000000001" customHeight="1">
      <c r="A114" s="63" t="s">
        <v>48</v>
      </c>
      <c r="B114" s="54">
        <v>510</v>
      </c>
      <c r="C114" s="12">
        <f>SUM(C115:C120)</f>
        <v>310.5</v>
      </c>
      <c r="D114" s="12">
        <f>SUM(D115:D120)</f>
        <v>40.799999999999997</v>
      </c>
      <c r="E114" s="40">
        <f>SUM(E115:E120)</f>
        <v>40.799999999999997</v>
      </c>
      <c r="F114" s="12">
        <f>SUM(F115:F120)</f>
        <v>40.799999999999997</v>
      </c>
      <c r="G114" s="12">
        <f>F114/E114*100</f>
        <v>100</v>
      </c>
    </row>
    <row r="115" spans="1:7" s="4" customFormat="1" ht="20.100000000000001" customHeight="1">
      <c r="A115" s="60" t="s">
        <v>0</v>
      </c>
      <c r="B115" s="55">
        <v>511</v>
      </c>
      <c r="C115" s="13"/>
      <c r="D115" s="22"/>
      <c r="E115" s="13"/>
      <c r="F115" s="13"/>
      <c r="G115" s="13"/>
    </row>
    <row r="116" spans="1:7" s="4" customFormat="1" ht="20.100000000000001" customHeight="1">
      <c r="A116" s="60" t="s">
        <v>1</v>
      </c>
      <c r="B116" s="56">
        <v>512</v>
      </c>
      <c r="C116" s="13">
        <v>301</v>
      </c>
      <c r="D116" s="13">
        <f>F116</f>
        <v>31.4</v>
      </c>
      <c r="E116" s="13">
        <v>31.4</v>
      </c>
      <c r="F116" s="13">
        <v>31.4</v>
      </c>
      <c r="G116" s="13">
        <f>F116/E116*100</f>
        <v>100</v>
      </c>
    </row>
    <row r="117" spans="1:7" s="4" customFormat="1" ht="20.100000000000001" customHeight="1">
      <c r="A117" s="60" t="s">
        <v>18</v>
      </c>
      <c r="B117" s="55">
        <v>513</v>
      </c>
      <c r="C117" s="13">
        <v>4.8</v>
      </c>
      <c r="D117" s="13">
        <f>F117</f>
        <v>5.4</v>
      </c>
      <c r="E117" s="13">
        <v>5.4</v>
      </c>
      <c r="F117" s="13">
        <v>5.4</v>
      </c>
      <c r="G117" s="13">
        <f>F117/E117*100</f>
        <v>100</v>
      </c>
    </row>
    <row r="118" spans="1:7" s="4" customFormat="1" ht="20.100000000000001" customHeight="1">
      <c r="A118" s="60" t="s">
        <v>2</v>
      </c>
      <c r="B118" s="56">
        <v>514</v>
      </c>
      <c r="C118" s="13">
        <v>3.7</v>
      </c>
      <c r="D118" s="13">
        <f>F118</f>
        <v>4</v>
      </c>
      <c r="E118" s="13">
        <v>4</v>
      </c>
      <c r="F118" s="13">
        <v>4</v>
      </c>
      <c r="G118" s="13">
        <f>F118/E118*100</f>
        <v>100</v>
      </c>
    </row>
    <row r="119" spans="1:7" s="4" customFormat="1" ht="32.25" customHeight="1">
      <c r="A119" s="60" t="s">
        <v>19</v>
      </c>
      <c r="B119" s="55">
        <v>515</v>
      </c>
      <c r="C119" s="13">
        <v>1</v>
      </c>
      <c r="D119" s="13">
        <f>F119</f>
        <v>0</v>
      </c>
      <c r="E119" s="13"/>
      <c r="F119" s="13"/>
      <c r="G119" s="13"/>
    </row>
    <row r="120" spans="1:7" s="4" customFormat="1" ht="20.100000000000001" customHeight="1">
      <c r="A120" s="60" t="s">
        <v>33</v>
      </c>
      <c r="B120" s="57">
        <v>516</v>
      </c>
      <c r="C120" s="14"/>
      <c r="D120" s="13"/>
      <c r="E120" s="13"/>
      <c r="F120" s="13"/>
      <c r="G120" s="13"/>
    </row>
    <row r="121" spans="1:7" s="4" customFormat="1" ht="20.100000000000001" customHeight="1">
      <c r="A121" s="103" t="s">
        <v>55</v>
      </c>
      <c r="B121" s="100"/>
      <c r="C121" s="100"/>
      <c r="D121" s="100"/>
      <c r="E121" s="100"/>
      <c r="F121" s="100"/>
      <c r="G121" s="101"/>
    </row>
    <row r="122" spans="1:7" s="4" customFormat="1" ht="20.100000000000001" customHeight="1">
      <c r="A122" s="60" t="s">
        <v>57</v>
      </c>
      <c r="B122" s="58">
        <v>600</v>
      </c>
      <c r="C122" s="22">
        <f>SUM(C123:C126)</f>
        <v>0</v>
      </c>
      <c r="D122" s="22">
        <f>SUM(D123:D126)</f>
        <v>0</v>
      </c>
      <c r="E122" s="16">
        <f>SUM(E123:E126)</f>
        <v>0</v>
      </c>
      <c r="F122" s="13">
        <f>SUM(F123:F126)</f>
        <v>0</v>
      </c>
      <c r="G122" s="13">
        <f>SUM(G123:G126)</f>
        <v>0</v>
      </c>
    </row>
    <row r="123" spans="1:7" s="4" customFormat="1" ht="20.100000000000001" customHeight="1">
      <c r="A123" s="62" t="s">
        <v>58</v>
      </c>
      <c r="B123" s="57">
        <v>601</v>
      </c>
      <c r="C123" s="22"/>
      <c r="D123" s="22"/>
      <c r="E123" s="16"/>
      <c r="F123" s="13"/>
      <c r="G123" s="13"/>
    </row>
    <row r="124" spans="1:7" s="4" customFormat="1" ht="20.100000000000001" customHeight="1">
      <c r="A124" s="62" t="s">
        <v>59</v>
      </c>
      <c r="B124" s="57">
        <v>602</v>
      </c>
      <c r="C124" s="22"/>
      <c r="D124" s="22"/>
      <c r="E124" s="16"/>
      <c r="F124" s="13"/>
      <c r="G124" s="13"/>
    </row>
    <row r="125" spans="1:7" s="4" customFormat="1" ht="20.100000000000001" customHeight="1">
      <c r="A125" s="62" t="s">
        <v>60</v>
      </c>
      <c r="B125" s="57">
        <v>603</v>
      </c>
      <c r="C125" s="22"/>
      <c r="D125" s="22"/>
      <c r="E125" s="16"/>
      <c r="F125" s="13"/>
      <c r="G125" s="13"/>
    </row>
    <row r="126" spans="1:7" s="4" customFormat="1" ht="20.100000000000001" customHeight="1">
      <c r="A126" s="60" t="s">
        <v>61</v>
      </c>
      <c r="B126" s="58">
        <v>610</v>
      </c>
      <c r="C126" s="22"/>
      <c r="D126" s="22"/>
      <c r="E126" s="16"/>
      <c r="F126" s="13"/>
      <c r="G126" s="13"/>
    </row>
    <row r="127" spans="1:7" s="4" customFormat="1" ht="20.100000000000001" customHeight="1">
      <c r="A127" s="60" t="s">
        <v>62</v>
      </c>
      <c r="B127" s="58">
        <v>620</v>
      </c>
      <c r="C127" s="22">
        <f>SUM(C128:C131)</f>
        <v>0</v>
      </c>
      <c r="D127" s="22">
        <f>SUM(D128:D131)</f>
        <v>0</v>
      </c>
      <c r="E127" s="16">
        <f>SUM(E128:E131)</f>
        <v>0</v>
      </c>
      <c r="F127" s="13">
        <f>SUM(F128:F131)</f>
        <v>0</v>
      </c>
      <c r="G127" s="13">
        <f>SUM(G128:G131)</f>
        <v>0</v>
      </c>
    </row>
    <row r="128" spans="1:7" s="4" customFormat="1" ht="20.100000000000001" customHeight="1">
      <c r="A128" s="62" t="s">
        <v>58</v>
      </c>
      <c r="B128" s="57">
        <v>621</v>
      </c>
      <c r="C128" s="22"/>
      <c r="D128" s="22"/>
      <c r="E128" s="16"/>
      <c r="F128" s="13"/>
      <c r="G128" s="13"/>
    </row>
    <row r="129" spans="1:7" s="4" customFormat="1" ht="20.100000000000001" customHeight="1">
      <c r="A129" s="62" t="s">
        <v>59</v>
      </c>
      <c r="B129" s="57">
        <v>622</v>
      </c>
      <c r="C129" s="22"/>
      <c r="D129" s="22"/>
      <c r="E129" s="16"/>
      <c r="F129" s="13"/>
      <c r="G129" s="13"/>
    </row>
    <row r="130" spans="1:7" s="4" customFormat="1" ht="20.100000000000001" customHeight="1">
      <c r="A130" s="62" t="s">
        <v>60</v>
      </c>
      <c r="B130" s="57">
        <v>623</v>
      </c>
      <c r="C130" s="22"/>
      <c r="D130" s="22"/>
      <c r="E130" s="16"/>
      <c r="F130" s="13"/>
      <c r="G130" s="13"/>
    </row>
    <row r="131" spans="1:7" s="4" customFormat="1" ht="20.100000000000001" customHeight="1">
      <c r="A131" s="60" t="s">
        <v>35</v>
      </c>
      <c r="B131" s="58">
        <v>630</v>
      </c>
      <c r="C131" s="22"/>
      <c r="D131" s="22"/>
      <c r="E131" s="16"/>
      <c r="F131" s="13"/>
      <c r="G131" s="13"/>
    </row>
    <row r="132" spans="1:7" ht="20.100000000000001" customHeight="1">
      <c r="A132" s="63" t="s">
        <v>14</v>
      </c>
      <c r="B132" s="47">
        <v>700</v>
      </c>
      <c r="C132" s="12">
        <f>C36</f>
        <v>7468.2</v>
      </c>
      <c r="D132" s="12">
        <f>D36</f>
        <v>10316.600000000002</v>
      </c>
      <c r="E132" s="12">
        <f>E36</f>
        <v>10637</v>
      </c>
      <c r="F132" s="12">
        <f>F36</f>
        <v>10316.600000000002</v>
      </c>
      <c r="G132" s="12">
        <f>F132/E132*100</f>
        <v>96.98787252044751</v>
      </c>
    </row>
    <row r="133" spans="1:7" ht="20.100000000000001" customHeight="1">
      <c r="A133" s="63" t="s">
        <v>22</v>
      </c>
      <c r="B133" s="47">
        <v>850</v>
      </c>
      <c r="C133" s="36">
        <f>C110</f>
        <v>7558.0999999999995</v>
      </c>
      <c r="D133" s="36">
        <f>D110</f>
        <v>10568.5</v>
      </c>
      <c r="E133" s="36">
        <f>E48</f>
        <v>10637</v>
      </c>
      <c r="F133" s="36">
        <f>F48</f>
        <v>10568.499999999998</v>
      </c>
      <c r="G133" s="12">
        <f>F133/E133*100</f>
        <v>99.356021434615002</v>
      </c>
    </row>
    <row r="134" spans="1:7" ht="20.100000000000001" customHeight="1">
      <c r="A134" s="60" t="s">
        <v>54</v>
      </c>
      <c r="B134" s="48">
        <v>850</v>
      </c>
      <c r="C134" s="13">
        <f>C132-C133</f>
        <v>-89.899999999999636</v>
      </c>
      <c r="D134" s="13">
        <f>D132-D133</f>
        <v>-251.89999999999782</v>
      </c>
      <c r="E134" s="13">
        <f>E132-E133</f>
        <v>0</v>
      </c>
      <c r="F134" s="13">
        <f>F132-F133</f>
        <v>-251.899999999996</v>
      </c>
      <c r="G134" s="13"/>
    </row>
    <row r="135" spans="1:7" ht="20.100000000000001" customHeight="1">
      <c r="A135" s="63" t="s">
        <v>112</v>
      </c>
      <c r="B135" s="48"/>
      <c r="C135" s="22"/>
      <c r="D135" s="22"/>
      <c r="E135" s="16" t="s">
        <v>143</v>
      </c>
      <c r="F135" s="22"/>
      <c r="G135" s="13"/>
    </row>
    <row r="136" spans="1:7" ht="20.100000000000001" customHeight="1">
      <c r="A136" s="60" t="s">
        <v>113</v>
      </c>
      <c r="B136" s="48">
        <v>900</v>
      </c>
      <c r="C136" s="16">
        <v>140.75</v>
      </c>
      <c r="D136" s="37">
        <v>140.75</v>
      </c>
      <c r="E136" s="16">
        <v>140.75</v>
      </c>
      <c r="F136" s="16">
        <v>140.75</v>
      </c>
      <c r="G136" s="13"/>
    </row>
    <row r="137" spans="1:7" ht="20.100000000000001" customHeight="1">
      <c r="A137" s="60" t="s">
        <v>114</v>
      </c>
      <c r="B137" s="48">
        <v>910</v>
      </c>
      <c r="C137" s="22"/>
      <c r="D137" s="22"/>
      <c r="E137" s="16"/>
      <c r="F137" s="13"/>
      <c r="G137" s="13"/>
    </row>
    <row r="138" spans="1:7" ht="20.100000000000001" customHeight="1">
      <c r="A138" s="60" t="s">
        <v>115</v>
      </c>
      <c r="B138" s="48">
        <v>920</v>
      </c>
      <c r="C138" s="22"/>
      <c r="D138" s="22"/>
      <c r="E138" s="16"/>
      <c r="F138" s="13"/>
      <c r="G138" s="13"/>
    </row>
    <row r="139" spans="1:7" ht="20.100000000000001" customHeight="1">
      <c r="A139" s="60" t="s">
        <v>116</v>
      </c>
      <c r="B139" s="48">
        <v>930</v>
      </c>
      <c r="C139" s="33"/>
      <c r="D139" s="12"/>
      <c r="E139" s="40"/>
      <c r="F139" s="12"/>
      <c r="G139" s="12"/>
    </row>
    <row r="140" spans="1:7" ht="20.100000000000001" customHeight="1">
      <c r="A140" s="60" t="s">
        <v>117</v>
      </c>
      <c r="B140" s="48">
        <v>940</v>
      </c>
      <c r="C140" s="33"/>
      <c r="D140" s="12"/>
      <c r="E140" s="40"/>
      <c r="F140" s="12"/>
      <c r="G140" s="12"/>
    </row>
    <row r="141" spans="1:7" ht="19.5" customHeight="1">
      <c r="A141" s="60" t="s">
        <v>118</v>
      </c>
      <c r="B141" s="48">
        <v>950</v>
      </c>
      <c r="C141" s="22"/>
      <c r="D141" s="22"/>
      <c r="E141" s="16"/>
      <c r="F141" s="13"/>
      <c r="G141" s="13"/>
    </row>
    <row r="142" spans="1:7" ht="19.5" customHeight="1">
      <c r="A142" s="24"/>
      <c r="B142" s="59"/>
      <c r="C142" s="17"/>
      <c r="D142" s="17"/>
      <c r="E142" s="17"/>
      <c r="F142" s="17"/>
      <c r="G142" s="17"/>
    </row>
    <row r="143" spans="1:7" ht="16.5" customHeight="1">
      <c r="A143" s="24"/>
      <c r="C143" s="34"/>
      <c r="D143" s="38"/>
      <c r="E143" s="38"/>
      <c r="F143" s="38"/>
      <c r="G143" s="38"/>
    </row>
    <row r="144" spans="1:7" ht="20.100000000000001" customHeight="1">
      <c r="A144" s="65" t="s">
        <v>83</v>
      </c>
      <c r="B144" s="59"/>
      <c r="C144" s="111" t="s">
        <v>29</v>
      </c>
      <c r="D144" s="111"/>
      <c r="E144" s="41"/>
      <c r="F144" s="112" t="s">
        <v>84</v>
      </c>
      <c r="G144" s="112"/>
    </row>
    <row r="145" spans="1:7" s="4" customFormat="1" ht="20.100000000000001" customHeight="1">
      <c r="A145" s="35" t="s">
        <v>28</v>
      </c>
      <c r="B145" s="1"/>
      <c r="C145" s="104" t="s">
        <v>32</v>
      </c>
      <c r="D145" s="104"/>
      <c r="E145" s="42"/>
      <c r="F145" s="95"/>
      <c r="G145" s="95"/>
    </row>
    <row r="146" spans="1:7" s="4" customFormat="1" ht="20.100000000000001" customHeight="1">
      <c r="A146" s="35"/>
      <c r="B146" s="1"/>
      <c r="C146" s="35"/>
      <c r="D146" s="35"/>
      <c r="E146" s="42"/>
      <c r="F146" s="43"/>
      <c r="G146" s="43"/>
    </row>
    <row r="147" spans="1:7" s="4" customFormat="1" ht="20.100000000000001" customHeight="1">
      <c r="A147" s="35"/>
      <c r="B147" s="1"/>
      <c r="C147" s="35"/>
      <c r="D147" s="35"/>
      <c r="E147" s="42"/>
      <c r="F147" s="43"/>
      <c r="G147" s="43"/>
    </row>
    <row r="148" spans="1:7" ht="20.100000000000001" customHeight="1">
      <c r="A148" s="96"/>
      <c r="B148" s="96"/>
      <c r="C148" s="96"/>
      <c r="D148" s="96"/>
      <c r="E148" s="96"/>
      <c r="F148" s="96"/>
      <c r="G148" s="38"/>
    </row>
    <row r="149" spans="1:7">
      <c r="A149" s="24"/>
      <c r="C149" s="34"/>
      <c r="D149" s="38"/>
      <c r="E149" s="38"/>
      <c r="F149" s="38"/>
      <c r="G149" s="38"/>
    </row>
    <row r="150" spans="1:7">
      <c r="A150" s="24"/>
      <c r="C150" s="34"/>
      <c r="D150" s="38"/>
      <c r="E150" s="38"/>
      <c r="F150" s="38"/>
      <c r="G150" s="38"/>
    </row>
    <row r="151" spans="1:7">
      <c r="A151" s="24"/>
      <c r="C151" s="34"/>
      <c r="D151" s="38"/>
      <c r="E151" s="38"/>
      <c r="F151" s="38"/>
      <c r="G151" s="38"/>
    </row>
    <row r="152" spans="1:7">
      <c r="A152" s="24"/>
      <c r="C152" s="34"/>
      <c r="D152" s="38"/>
      <c r="E152" s="38"/>
      <c r="F152" s="38"/>
      <c r="G152" s="38"/>
    </row>
    <row r="153" spans="1:7">
      <c r="A153" s="24"/>
      <c r="C153" s="34"/>
      <c r="D153" s="38"/>
      <c r="E153" s="38"/>
      <c r="F153" s="38"/>
      <c r="G153" s="38"/>
    </row>
    <row r="154" spans="1:7">
      <c r="A154" s="24"/>
      <c r="C154" s="34"/>
      <c r="D154" s="38"/>
      <c r="E154" s="38"/>
      <c r="F154" s="38"/>
      <c r="G154" s="38"/>
    </row>
    <row r="155" spans="1:7">
      <c r="A155" s="24"/>
      <c r="C155" s="34"/>
      <c r="D155" s="38"/>
      <c r="E155" s="38"/>
      <c r="F155" s="38"/>
      <c r="G155" s="38"/>
    </row>
    <row r="156" spans="1:7">
      <c r="A156" s="24"/>
      <c r="C156" s="34"/>
      <c r="D156" s="38"/>
      <c r="E156" s="38"/>
      <c r="F156" s="38"/>
      <c r="G156" s="38"/>
    </row>
    <row r="157" spans="1:7">
      <c r="A157" s="24"/>
      <c r="C157" s="34"/>
      <c r="D157" s="38"/>
      <c r="E157" s="38"/>
      <c r="F157" s="38"/>
      <c r="G157" s="38"/>
    </row>
    <row r="158" spans="1:7">
      <c r="A158" s="24"/>
      <c r="C158" s="34"/>
      <c r="D158" s="38"/>
      <c r="E158" s="38"/>
      <c r="F158" s="38"/>
      <c r="G158" s="38"/>
    </row>
    <row r="159" spans="1:7">
      <c r="A159" s="24"/>
      <c r="C159" s="34"/>
      <c r="D159" s="38"/>
      <c r="E159" s="38"/>
      <c r="F159" s="38"/>
      <c r="G159" s="38"/>
    </row>
    <row r="160" spans="1:7">
      <c r="A160" s="24"/>
      <c r="C160" s="34"/>
      <c r="D160" s="38"/>
      <c r="E160" s="38"/>
      <c r="F160" s="38"/>
      <c r="G160" s="38"/>
    </row>
    <row r="161" spans="1:7">
      <c r="A161" s="24"/>
      <c r="C161" s="34"/>
      <c r="D161" s="38"/>
      <c r="E161" s="38"/>
      <c r="F161" s="38"/>
      <c r="G161" s="38"/>
    </row>
    <row r="162" spans="1:7">
      <c r="A162" s="24"/>
      <c r="C162" s="34"/>
      <c r="D162" s="38"/>
      <c r="E162" s="38"/>
      <c r="F162" s="38"/>
      <c r="G162" s="38"/>
    </row>
    <row r="163" spans="1:7">
      <c r="A163" s="24"/>
      <c r="C163" s="34"/>
      <c r="D163" s="38"/>
      <c r="E163" s="38"/>
      <c r="F163" s="38"/>
      <c r="G163" s="38"/>
    </row>
    <row r="164" spans="1:7">
      <c r="A164" s="24"/>
      <c r="C164" s="34"/>
      <c r="D164" s="38"/>
      <c r="E164" s="38"/>
      <c r="F164" s="38"/>
      <c r="G164" s="38"/>
    </row>
    <row r="165" spans="1:7">
      <c r="A165" s="24"/>
      <c r="C165" s="34"/>
      <c r="D165" s="38"/>
      <c r="E165" s="38"/>
      <c r="F165" s="38"/>
      <c r="G165" s="38"/>
    </row>
    <row r="166" spans="1:7">
      <c r="A166" s="24"/>
      <c r="C166" s="34"/>
      <c r="D166" s="38"/>
      <c r="E166" s="38"/>
      <c r="F166" s="38"/>
      <c r="G166" s="38"/>
    </row>
    <row r="167" spans="1:7">
      <c r="A167" s="24"/>
      <c r="C167" s="34"/>
      <c r="D167" s="38"/>
      <c r="E167" s="38"/>
      <c r="F167" s="38"/>
      <c r="G167" s="38"/>
    </row>
    <row r="168" spans="1:7">
      <c r="A168" s="24"/>
      <c r="C168" s="34"/>
      <c r="D168" s="38"/>
      <c r="E168" s="38"/>
      <c r="F168" s="38"/>
      <c r="G168" s="38"/>
    </row>
    <row r="169" spans="1:7">
      <c r="A169" s="24"/>
      <c r="C169" s="34"/>
      <c r="D169" s="38"/>
      <c r="E169" s="38"/>
      <c r="F169" s="38"/>
      <c r="G169" s="38"/>
    </row>
    <row r="170" spans="1:7">
      <c r="A170" s="24"/>
      <c r="C170" s="34"/>
      <c r="D170" s="38"/>
      <c r="E170" s="38"/>
      <c r="F170" s="38"/>
      <c r="G170" s="38"/>
    </row>
    <row r="171" spans="1:7">
      <c r="A171" s="24"/>
      <c r="C171" s="34"/>
      <c r="D171" s="38"/>
      <c r="E171" s="38"/>
      <c r="F171" s="38"/>
      <c r="G171" s="38"/>
    </row>
    <row r="172" spans="1:7">
      <c r="A172" s="24"/>
      <c r="C172" s="34"/>
      <c r="D172" s="38"/>
      <c r="E172" s="38"/>
      <c r="F172" s="38"/>
      <c r="G172" s="38"/>
    </row>
    <row r="173" spans="1:7">
      <c r="A173" s="24"/>
      <c r="C173" s="34"/>
      <c r="D173" s="38"/>
      <c r="E173" s="38"/>
      <c r="F173" s="38"/>
      <c r="G173" s="38"/>
    </row>
    <row r="174" spans="1:7">
      <c r="A174" s="24"/>
      <c r="C174" s="34"/>
      <c r="D174" s="38"/>
      <c r="E174" s="38"/>
      <c r="F174" s="38"/>
      <c r="G174" s="38"/>
    </row>
    <row r="175" spans="1:7">
      <c r="A175" s="24"/>
      <c r="C175" s="34"/>
      <c r="D175" s="38"/>
      <c r="E175" s="38"/>
      <c r="F175" s="38"/>
      <c r="G175" s="38"/>
    </row>
    <row r="176" spans="1:7">
      <c r="A176" s="24"/>
      <c r="C176" s="34"/>
      <c r="D176" s="38"/>
      <c r="E176" s="38"/>
      <c r="F176" s="38"/>
      <c r="G176" s="38"/>
    </row>
    <row r="177" spans="1:7">
      <c r="A177" s="24"/>
      <c r="C177" s="34"/>
      <c r="D177" s="38"/>
      <c r="E177" s="38"/>
      <c r="F177" s="38"/>
      <c r="G177" s="38"/>
    </row>
    <row r="178" spans="1:7">
      <c r="A178" s="24"/>
      <c r="C178" s="34"/>
      <c r="D178" s="38"/>
      <c r="E178" s="38"/>
      <c r="F178" s="38"/>
      <c r="G178" s="38"/>
    </row>
    <row r="179" spans="1:7">
      <c r="A179" s="24"/>
      <c r="C179" s="34"/>
      <c r="D179" s="38"/>
      <c r="E179" s="38"/>
      <c r="F179" s="38"/>
      <c r="G179" s="38"/>
    </row>
    <row r="180" spans="1:7">
      <c r="A180" s="24"/>
      <c r="C180" s="34"/>
      <c r="D180" s="38"/>
      <c r="E180" s="38"/>
      <c r="F180" s="38"/>
      <c r="G180" s="38"/>
    </row>
    <row r="181" spans="1:7">
      <c r="A181" s="24"/>
      <c r="C181" s="34"/>
      <c r="D181" s="38"/>
      <c r="E181" s="38"/>
      <c r="F181" s="38"/>
      <c r="G181" s="38"/>
    </row>
    <row r="182" spans="1:7">
      <c r="A182" s="24"/>
      <c r="C182" s="34"/>
      <c r="D182" s="38"/>
      <c r="E182" s="38"/>
      <c r="F182" s="38"/>
      <c r="G182" s="38"/>
    </row>
    <row r="183" spans="1:7">
      <c r="A183" s="24"/>
      <c r="C183" s="34"/>
      <c r="D183" s="38"/>
      <c r="E183" s="38"/>
      <c r="F183" s="38"/>
      <c r="G183" s="38"/>
    </row>
    <row r="184" spans="1:7">
      <c r="A184" s="24"/>
      <c r="C184" s="34"/>
      <c r="D184" s="38"/>
      <c r="E184" s="38"/>
      <c r="F184" s="38"/>
      <c r="G184" s="38"/>
    </row>
    <row r="185" spans="1:7">
      <c r="A185" s="24"/>
      <c r="C185" s="34"/>
      <c r="D185" s="38"/>
      <c r="E185" s="38"/>
      <c r="F185" s="38"/>
      <c r="G185" s="38"/>
    </row>
    <row r="186" spans="1:7">
      <c r="A186" s="24"/>
      <c r="C186" s="34"/>
      <c r="D186" s="38"/>
      <c r="E186" s="38"/>
      <c r="F186" s="38"/>
      <c r="G186" s="38"/>
    </row>
    <row r="187" spans="1:7">
      <c r="A187" s="24"/>
      <c r="C187" s="34"/>
      <c r="D187" s="38"/>
      <c r="E187" s="38"/>
      <c r="F187" s="38"/>
      <c r="G187" s="38"/>
    </row>
    <row r="188" spans="1:7">
      <c r="A188" s="24"/>
      <c r="C188" s="34"/>
      <c r="D188" s="38"/>
      <c r="E188" s="38"/>
      <c r="F188" s="38"/>
      <c r="G188" s="38"/>
    </row>
    <row r="189" spans="1:7">
      <c r="A189" s="66"/>
    </row>
    <row r="190" spans="1:7">
      <c r="A190" s="66"/>
    </row>
    <row r="191" spans="1:7">
      <c r="A191" s="66"/>
    </row>
    <row r="192" spans="1:7">
      <c r="A192" s="66"/>
    </row>
    <row r="193" spans="1:1">
      <c r="A193" s="66"/>
    </row>
    <row r="194" spans="1:1">
      <c r="A194" s="66"/>
    </row>
    <row r="195" spans="1:1">
      <c r="A195" s="66"/>
    </row>
    <row r="196" spans="1:1">
      <c r="A196" s="66"/>
    </row>
    <row r="197" spans="1:1">
      <c r="A197" s="66"/>
    </row>
    <row r="198" spans="1:1">
      <c r="A198" s="66"/>
    </row>
    <row r="199" spans="1:1">
      <c r="A199" s="66"/>
    </row>
    <row r="200" spans="1:1">
      <c r="A200" s="66"/>
    </row>
    <row r="201" spans="1:1">
      <c r="A201" s="66"/>
    </row>
    <row r="202" spans="1:1">
      <c r="A202" s="66"/>
    </row>
    <row r="203" spans="1:1">
      <c r="A203" s="66"/>
    </row>
    <row r="204" spans="1:1">
      <c r="A204" s="66"/>
    </row>
    <row r="205" spans="1:1">
      <c r="A205" s="66"/>
    </row>
    <row r="206" spans="1:1">
      <c r="A206" s="66"/>
    </row>
    <row r="207" spans="1:1">
      <c r="A207" s="66"/>
    </row>
    <row r="208" spans="1:1">
      <c r="A208" s="66"/>
    </row>
    <row r="209" spans="1:1">
      <c r="A209" s="66"/>
    </row>
    <row r="210" spans="1:1">
      <c r="A210" s="66"/>
    </row>
    <row r="211" spans="1:1">
      <c r="A211" s="66"/>
    </row>
    <row r="212" spans="1:1">
      <c r="A212" s="66"/>
    </row>
    <row r="213" spans="1:1">
      <c r="A213" s="66"/>
    </row>
    <row r="214" spans="1:1">
      <c r="A214" s="66"/>
    </row>
    <row r="215" spans="1:1">
      <c r="A215" s="66"/>
    </row>
    <row r="216" spans="1:1">
      <c r="A216" s="66"/>
    </row>
    <row r="217" spans="1:1">
      <c r="A217" s="66"/>
    </row>
    <row r="218" spans="1:1">
      <c r="A218" s="66"/>
    </row>
    <row r="219" spans="1:1">
      <c r="A219" s="66"/>
    </row>
    <row r="220" spans="1:1">
      <c r="A220" s="66"/>
    </row>
    <row r="221" spans="1:1">
      <c r="A221" s="66"/>
    </row>
    <row r="222" spans="1:1">
      <c r="A222" s="66"/>
    </row>
    <row r="223" spans="1:1">
      <c r="A223" s="66"/>
    </row>
    <row r="224" spans="1:1">
      <c r="A224" s="66"/>
    </row>
    <row r="225" spans="1:1">
      <c r="A225" s="66"/>
    </row>
    <row r="226" spans="1:1">
      <c r="A226" s="66"/>
    </row>
    <row r="227" spans="1:1">
      <c r="A227" s="66"/>
    </row>
    <row r="228" spans="1:1">
      <c r="A228" s="66"/>
    </row>
    <row r="229" spans="1:1">
      <c r="A229" s="66"/>
    </row>
    <row r="230" spans="1:1">
      <c r="A230" s="66"/>
    </row>
    <row r="231" spans="1:1">
      <c r="A231" s="66"/>
    </row>
    <row r="232" spans="1:1">
      <c r="A232" s="66"/>
    </row>
    <row r="233" spans="1:1">
      <c r="A233" s="66"/>
    </row>
    <row r="234" spans="1:1">
      <c r="A234" s="66"/>
    </row>
    <row r="235" spans="1:1">
      <c r="A235" s="66"/>
    </row>
    <row r="236" spans="1:1">
      <c r="A236" s="66"/>
    </row>
    <row r="237" spans="1:1">
      <c r="A237" s="66"/>
    </row>
    <row r="238" spans="1:1">
      <c r="A238" s="66"/>
    </row>
    <row r="239" spans="1:1">
      <c r="A239" s="66"/>
    </row>
    <row r="240" spans="1:1">
      <c r="A240" s="66"/>
    </row>
    <row r="241" spans="1:1">
      <c r="A241" s="66"/>
    </row>
    <row r="242" spans="1:1">
      <c r="A242" s="66"/>
    </row>
    <row r="243" spans="1:1">
      <c r="A243" s="66"/>
    </row>
    <row r="244" spans="1:1">
      <c r="A244" s="66"/>
    </row>
    <row r="245" spans="1:1">
      <c r="A245" s="66"/>
    </row>
    <row r="246" spans="1:1">
      <c r="A246" s="66"/>
    </row>
    <row r="247" spans="1:1">
      <c r="A247" s="66"/>
    </row>
    <row r="248" spans="1:1">
      <c r="A248" s="66"/>
    </row>
    <row r="249" spans="1:1">
      <c r="A249" s="66"/>
    </row>
    <row r="250" spans="1:1">
      <c r="A250" s="66"/>
    </row>
    <row r="251" spans="1:1">
      <c r="A251" s="66"/>
    </row>
    <row r="252" spans="1:1">
      <c r="A252" s="66"/>
    </row>
    <row r="253" spans="1:1">
      <c r="A253" s="66"/>
    </row>
    <row r="254" spans="1:1">
      <c r="A254" s="66"/>
    </row>
    <row r="255" spans="1:1">
      <c r="A255" s="66"/>
    </row>
    <row r="256" spans="1:1">
      <c r="A256" s="66"/>
    </row>
    <row r="257" spans="1:1">
      <c r="A257" s="66"/>
    </row>
    <row r="258" spans="1:1">
      <c r="A258" s="66"/>
    </row>
    <row r="259" spans="1:1">
      <c r="A259" s="66"/>
    </row>
    <row r="260" spans="1:1">
      <c r="A260" s="66"/>
    </row>
    <row r="261" spans="1:1">
      <c r="A261" s="66"/>
    </row>
    <row r="262" spans="1:1">
      <c r="A262" s="66"/>
    </row>
    <row r="263" spans="1:1">
      <c r="A263" s="66"/>
    </row>
    <row r="264" spans="1:1">
      <c r="A264" s="66"/>
    </row>
    <row r="265" spans="1:1">
      <c r="A265" s="66"/>
    </row>
    <row r="266" spans="1:1">
      <c r="A266" s="66"/>
    </row>
    <row r="267" spans="1:1">
      <c r="A267" s="66"/>
    </row>
    <row r="268" spans="1:1">
      <c r="A268" s="66"/>
    </row>
    <row r="269" spans="1:1">
      <c r="A269" s="66"/>
    </row>
    <row r="270" spans="1:1">
      <c r="A270" s="66"/>
    </row>
    <row r="271" spans="1:1">
      <c r="A271" s="66"/>
    </row>
    <row r="272" spans="1:1">
      <c r="A272" s="66"/>
    </row>
    <row r="273" spans="1:1">
      <c r="A273" s="66"/>
    </row>
    <row r="274" spans="1:1">
      <c r="A274" s="66"/>
    </row>
    <row r="275" spans="1:1">
      <c r="A275" s="66"/>
    </row>
    <row r="276" spans="1:1">
      <c r="A276" s="66"/>
    </row>
    <row r="277" spans="1:1">
      <c r="A277" s="66"/>
    </row>
    <row r="278" spans="1:1">
      <c r="A278" s="66"/>
    </row>
    <row r="279" spans="1:1">
      <c r="A279" s="66"/>
    </row>
    <row r="280" spans="1:1">
      <c r="A280" s="66"/>
    </row>
    <row r="281" spans="1:1">
      <c r="A281" s="66"/>
    </row>
    <row r="282" spans="1:1">
      <c r="A282" s="66"/>
    </row>
    <row r="283" spans="1:1">
      <c r="A283" s="66"/>
    </row>
    <row r="284" spans="1:1">
      <c r="A284" s="66"/>
    </row>
    <row r="285" spans="1:1">
      <c r="A285" s="66"/>
    </row>
    <row r="286" spans="1:1">
      <c r="A286" s="66"/>
    </row>
    <row r="287" spans="1:1">
      <c r="A287" s="66"/>
    </row>
    <row r="288" spans="1:1">
      <c r="A288" s="66"/>
    </row>
    <row r="289" spans="1:1">
      <c r="A289" s="66"/>
    </row>
    <row r="290" spans="1:1">
      <c r="A290" s="66"/>
    </row>
    <row r="291" spans="1:1">
      <c r="A291" s="66"/>
    </row>
    <row r="292" spans="1:1">
      <c r="A292" s="66"/>
    </row>
    <row r="293" spans="1:1">
      <c r="A293" s="66"/>
    </row>
    <row r="294" spans="1:1">
      <c r="A294" s="66"/>
    </row>
    <row r="295" spans="1:1">
      <c r="A295" s="66"/>
    </row>
    <row r="296" spans="1:1">
      <c r="A296" s="66"/>
    </row>
    <row r="297" spans="1:1">
      <c r="A297" s="66"/>
    </row>
    <row r="298" spans="1:1">
      <c r="A298" s="66"/>
    </row>
    <row r="299" spans="1:1">
      <c r="A299" s="66"/>
    </row>
    <row r="300" spans="1:1">
      <c r="A300" s="66"/>
    </row>
    <row r="301" spans="1:1">
      <c r="A301" s="66"/>
    </row>
    <row r="302" spans="1:1">
      <c r="A302" s="66"/>
    </row>
    <row r="303" spans="1:1">
      <c r="A303" s="66"/>
    </row>
    <row r="304" spans="1:1">
      <c r="A304" s="66"/>
    </row>
    <row r="305" spans="1:1">
      <c r="A305" s="66"/>
    </row>
    <row r="306" spans="1:1">
      <c r="A306" s="66"/>
    </row>
    <row r="307" spans="1:1">
      <c r="A307" s="66"/>
    </row>
    <row r="308" spans="1:1">
      <c r="A308" s="66"/>
    </row>
    <row r="309" spans="1:1">
      <c r="A309" s="66"/>
    </row>
    <row r="310" spans="1:1">
      <c r="A310" s="66"/>
    </row>
    <row r="311" spans="1:1">
      <c r="A311" s="66"/>
    </row>
    <row r="312" spans="1:1">
      <c r="A312" s="66"/>
    </row>
    <row r="313" spans="1:1">
      <c r="A313" s="66"/>
    </row>
    <row r="314" spans="1:1">
      <c r="A314" s="66"/>
    </row>
    <row r="315" spans="1:1">
      <c r="A315" s="66"/>
    </row>
    <row r="316" spans="1:1">
      <c r="A316" s="66"/>
    </row>
    <row r="317" spans="1:1">
      <c r="A317" s="66"/>
    </row>
    <row r="318" spans="1:1">
      <c r="A318" s="66"/>
    </row>
    <row r="319" spans="1:1">
      <c r="A319" s="66"/>
    </row>
    <row r="320" spans="1:1">
      <c r="A320" s="66"/>
    </row>
    <row r="321" spans="1:1">
      <c r="A321" s="66"/>
    </row>
    <row r="322" spans="1:1">
      <c r="A322" s="66"/>
    </row>
    <row r="323" spans="1:1">
      <c r="A323" s="66"/>
    </row>
    <row r="324" spans="1:1">
      <c r="A324" s="66"/>
    </row>
    <row r="325" spans="1:1">
      <c r="A325" s="66"/>
    </row>
    <row r="326" spans="1:1">
      <c r="A326" s="66"/>
    </row>
    <row r="327" spans="1:1">
      <c r="A327" s="66"/>
    </row>
    <row r="328" spans="1:1">
      <c r="A328" s="66"/>
    </row>
    <row r="329" spans="1:1">
      <c r="A329" s="66"/>
    </row>
    <row r="330" spans="1:1">
      <c r="A330" s="66"/>
    </row>
    <row r="331" spans="1:1">
      <c r="A331" s="66"/>
    </row>
    <row r="332" spans="1:1">
      <c r="A332" s="66"/>
    </row>
    <row r="333" spans="1:1">
      <c r="A333" s="66"/>
    </row>
    <row r="334" spans="1:1">
      <c r="A334" s="66"/>
    </row>
    <row r="335" spans="1:1">
      <c r="A335" s="66"/>
    </row>
    <row r="336" spans="1:1">
      <c r="A336" s="66"/>
    </row>
    <row r="337" spans="1:1">
      <c r="A337" s="66"/>
    </row>
    <row r="338" spans="1:1">
      <c r="A338" s="66"/>
    </row>
    <row r="339" spans="1:1">
      <c r="A339" s="66"/>
    </row>
    <row r="340" spans="1:1">
      <c r="A340" s="66"/>
    </row>
    <row r="341" spans="1:1">
      <c r="A341" s="66"/>
    </row>
    <row r="342" spans="1:1">
      <c r="A342" s="66"/>
    </row>
    <row r="343" spans="1:1">
      <c r="A343" s="66"/>
    </row>
    <row r="344" spans="1:1">
      <c r="A344" s="66"/>
    </row>
    <row r="345" spans="1:1">
      <c r="A345" s="66"/>
    </row>
    <row r="346" spans="1:1">
      <c r="A346" s="66"/>
    </row>
    <row r="347" spans="1:1">
      <c r="A347" s="66"/>
    </row>
    <row r="348" spans="1:1">
      <c r="A348" s="66"/>
    </row>
    <row r="349" spans="1:1">
      <c r="A349" s="66"/>
    </row>
    <row r="350" spans="1:1">
      <c r="A350" s="66"/>
    </row>
    <row r="351" spans="1:1">
      <c r="A351" s="66"/>
    </row>
    <row r="352" spans="1:1">
      <c r="A352" s="66"/>
    </row>
    <row r="353" spans="1:1">
      <c r="A353" s="66"/>
    </row>
    <row r="354" spans="1:1">
      <c r="A354" s="66"/>
    </row>
    <row r="355" spans="1:1">
      <c r="A355" s="66"/>
    </row>
  </sheetData>
  <mergeCells count="36">
    <mergeCell ref="B21:D21"/>
    <mergeCell ref="B23:D23"/>
    <mergeCell ref="B24:D24"/>
    <mergeCell ref="B15:D15"/>
    <mergeCell ref="B16:D16"/>
    <mergeCell ref="B17:D17"/>
    <mergeCell ref="B18:D18"/>
    <mergeCell ref="B19:D19"/>
    <mergeCell ref="B22:E22"/>
    <mergeCell ref="C144:D144"/>
    <mergeCell ref="A111:G111"/>
    <mergeCell ref="A121:G121"/>
    <mergeCell ref="F144:G144"/>
    <mergeCell ref="A31:A32"/>
    <mergeCell ref="B31:B32"/>
    <mergeCell ref="C31:D31"/>
    <mergeCell ref="A26:G26"/>
    <mergeCell ref="A27:G27"/>
    <mergeCell ref="F6:G6"/>
    <mergeCell ref="H6:I6"/>
    <mergeCell ref="F12:G12"/>
    <mergeCell ref="B13:E13"/>
    <mergeCell ref="E19:F19"/>
    <mergeCell ref="E20:F20"/>
    <mergeCell ref="B20:D20"/>
    <mergeCell ref="B12:D12"/>
    <mergeCell ref="B14:D14"/>
    <mergeCell ref="F145:G145"/>
    <mergeCell ref="A148:F148"/>
    <mergeCell ref="A28:G28"/>
    <mergeCell ref="A29:G29"/>
    <mergeCell ref="E31:G31"/>
    <mergeCell ref="A34:G34"/>
    <mergeCell ref="A35:G35"/>
    <mergeCell ref="A102:G102"/>
    <mergeCell ref="C145:D145"/>
  </mergeCells>
  <pageMargins left="0.23622047244094491" right="0.23622047244094491" top="0.19685039370078741" bottom="0.15748031496062992" header="0.11811023622047245" footer="0.11811023622047245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5"/>
  <sheetViews>
    <sheetView tabSelected="1" view="pageBreakPreview" topLeftCell="A8" zoomScaleNormal="100" zoomScaleSheetLayoutView="100" workbookViewId="0">
      <selection activeCell="A144" sqref="A144"/>
    </sheetView>
  </sheetViews>
  <sheetFormatPr defaultRowHeight="18.75"/>
  <cols>
    <col min="1" max="1" width="93.140625" style="1" customWidth="1"/>
    <col min="2" max="2" width="9.7109375" style="2" customWidth="1"/>
    <col min="3" max="3" width="13.7109375" style="2" customWidth="1"/>
    <col min="4" max="6" width="13.7109375" style="1" customWidth="1"/>
    <col min="7" max="7" width="15.28515625" style="1" customWidth="1"/>
    <col min="8" max="8" width="16.5703125" style="1" customWidth="1"/>
    <col min="9" max="9" width="13.28515625" style="1" customWidth="1"/>
    <col min="10" max="10" width="0.140625" style="72" hidden="1" customWidth="1"/>
    <col min="11" max="11" width="0.28515625" style="1" hidden="1" customWidth="1"/>
    <col min="12" max="12" width="5.7109375" style="1" hidden="1" customWidth="1"/>
    <col min="13" max="13" width="7.7109375" style="1" hidden="1" customWidth="1"/>
    <col min="14" max="14" width="6" style="1" hidden="1" customWidth="1"/>
    <col min="15" max="15" width="11.28515625" style="1" hidden="1" customWidth="1"/>
    <col min="16" max="16384" width="9.140625" style="1"/>
  </cols>
  <sheetData>
    <row r="1" spans="1:16">
      <c r="D1" s="89"/>
      <c r="E1" s="89"/>
      <c r="F1" s="89"/>
      <c r="G1" s="89" t="s">
        <v>74</v>
      </c>
      <c r="H1" s="89"/>
      <c r="I1" s="89"/>
      <c r="J1" s="89"/>
      <c r="K1" s="89"/>
      <c r="L1" s="89"/>
      <c r="M1" s="89"/>
      <c r="N1" s="89"/>
      <c r="O1" s="89"/>
      <c r="P1" s="89"/>
    </row>
    <row r="2" spans="1:16">
      <c r="D2" s="89" t="s">
        <v>138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6">
      <c r="D3" s="89" t="s">
        <v>66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6">
      <c r="D4" s="90"/>
      <c r="E4" s="90"/>
      <c r="F4" s="90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>
      <c r="D5" s="90"/>
      <c r="E5" s="90"/>
      <c r="F5" s="90"/>
      <c r="G5" s="89"/>
      <c r="H5" s="89"/>
      <c r="I5" s="89"/>
      <c r="J5" s="89"/>
      <c r="K5" s="89"/>
      <c r="L5" s="89"/>
      <c r="M5" s="89"/>
      <c r="N5" s="89"/>
      <c r="O5" s="89"/>
      <c r="P5" s="89"/>
    </row>
    <row r="6" spans="1:16">
      <c r="D6" s="90"/>
      <c r="E6" s="90"/>
      <c r="F6" s="90"/>
      <c r="G6" s="89"/>
      <c r="H6" s="124" t="s">
        <v>73</v>
      </c>
      <c r="I6" s="124"/>
      <c r="J6" s="121"/>
      <c r="K6" s="121"/>
      <c r="L6" s="89"/>
      <c r="M6" s="89"/>
      <c r="N6" s="89"/>
      <c r="O6" s="89"/>
      <c r="P6" s="89"/>
    </row>
    <row r="7" spans="1:16">
      <c r="D7" s="90"/>
      <c r="E7" s="90"/>
      <c r="F7" s="90"/>
      <c r="G7" s="89"/>
      <c r="H7" s="91" t="s">
        <v>146</v>
      </c>
      <c r="I7" s="91"/>
      <c r="J7" s="89"/>
      <c r="K7" s="89"/>
      <c r="L7" s="89"/>
      <c r="M7" s="89"/>
      <c r="N7" s="89"/>
      <c r="O7" s="89"/>
      <c r="P7" s="89"/>
    </row>
    <row r="8" spans="1:16">
      <c r="D8" s="90"/>
      <c r="E8" s="90"/>
      <c r="F8" s="90"/>
      <c r="G8" s="89"/>
      <c r="H8" s="91" t="s">
        <v>152</v>
      </c>
      <c r="I8" s="91"/>
      <c r="J8" s="89"/>
      <c r="K8" s="89"/>
      <c r="L8" s="89"/>
      <c r="M8" s="89"/>
      <c r="N8" s="89"/>
      <c r="O8" s="89"/>
      <c r="P8" s="89"/>
    </row>
    <row r="9" spans="1:16">
      <c r="D9" s="90"/>
      <c r="E9" s="90"/>
      <c r="F9" s="90"/>
      <c r="G9" s="89"/>
      <c r="H9" s="89"/>
      <c r="I9" s="89"/>
      <c r="J9" s="89"/>
      <c r="K9" s="89"/>
      <c r="L9" s="89"/>
      <c r="M9" s="89"/>
      <c r="N9" s="89"/>
      <c r="O9" s="89"/>
      <c r="P9" s="89"/>
    </row>
    <row r="12" spans="1:16">
      <c r="B12" s="110"/>
      <c r="C12" s="110"/>
      <c r="D12" s="110"/>
      <c r="E12" s="24"/>
      <c r="F12" s="24"/>
      <c r="J12" s="122"/>
      <c r="K12" s="123"/>
    </row>
    <row r="13" spans="1:16" ht="52.5" customHeight="1">
      <c r="A13" s="26" t="s">
        <v>9</v>
      </c>
      <c r="B13" s="94" t="s">
        <v>119</v>
      </c>
      <c r="C13" s="94"/>
      <c r="D13" s="94"/>
      <c r="E13" s="94"/>
      <c r="F13" s="94"/>
      <c r="G13" s="94"/>
      <c r="H13" s="20" t="s">
        <v>25</v>
      </c>
      <c r="I13" s="87">
        <v>38661186</v>
      </c>
      <c r="J13" s="1"/>
    </row>
    <row r="14" spans="1:16">
      <c r="A14" s="26" t="s">
        <v>10</v>
      </c>
      <c r="B14" s="94" t="s">
        <v>79</v>
      </c>
      <c r="C14" s="94"/>
      <c r="D14" s="94"/>
      <c r="E14" s="68"/>
      <c r="F14" s="68"/>
      <c r="G14" s="8"/>
      <c r="H14" s="20" t="s">
        <v>24</v>
      </c>
      <c r="I14" s="87">
        <v>150</v>
      </c>
      <c r="J14" s="1"/>
    </row>
    <row r="15" spans="1:16" ht="32.25" customHeight="1">
      <c r="A15" s="26" t="s">
        <v>15</v>
      </c>
      <c r="B15" s="94" t="s">
        <v>80</v>
      </c>
      <c r="C15" s="94"/>
      <c r="D15" s="94"/>
      <c r="E15" s="68"/>
      <c r="F15" s="68"/>
      <c r="G15" s="8"/>
      <c r="H15" s="20" t="s">
        <v>23</v>
      </c>
      <c r="I15" s="86">
        <v>5124755100</v>
      </c>
      <c r="J15" s="1"/>
    </row>
    <row r="16" spans="1:16" ht="32.25" customHeight="1">
      <c r="A16" s="26" t="s">
        <v>20</v>
      </c>
      <c r="B16" s="94" t="s">
        <v>120</v>
      </c>
      <c r="C16" s="94"/>
      <c r="D16" s="94"/>
      <c r="E16" s="68"/>
      <c r="F16" s="68"/>
      <c r="G16" s="9"/>
      <c r="H16" s="20" t="s">
        <v>5</v>
      </c>
      <c r="I16" s="87"/>
      <c r="J16" s="1"/>
    </row>
    <row r="17" spans="1:11">
      <c r="A17" s="26" t="s">
        <v>12</v>
      </c>
      <c r="B17" s="94" t="s">
        <v>75</v>
      </c>
      <c r="C17" s="94"/>
      <c r="D17" s="94"/>
      <c r="E17" s="68"/>
      <c r="F17" s="68"/>
      <c r="G17" s="9"/>
      <c r="H17" s="20" t="s">
        <v>4</v>
      </c>
      <c r="I17" s="87"/>
      <c r="J17" s="1"/>
    </row>
    <row r="18" spans="1:11">
      <c r="A18" s="26" t="s">
        <v>11</v>
      </c>
      <c r="B18" s="94"/>
      <c r="C18" s="94"/>
      <c r="D18" s="94"/>
      <c r="E18" s="68"/>
      <c r="F18" s="68"/>
      <c r="G18" s="9"/>
      <c r="H18" s="21" t="s">
        <v>6</v>
      </c>
      <c r="I18" s="87" t="s">
        <v>77</v>
      </c>
      <c r="J18" s="1"/>
    </row>
    <row r="19" spans="1:11">
      <c r="A19" s="26" t="s">
        <v>37</v>
      </c>
      <c r="B19" s="94"/>
      <c r="C19" s="94"/>
      <c r="D19" s="94"/>
      <c r="E19" s="68"/>
      <c r="F19" s="68"/>
      <c r="G19" s="94" t="s">
        <v>26</v>
      </c>
      <c r="H19" s="109"/>
      <c r="I19" s="88" t="s">
        <v>78</v>
      </c>
      <c r="J19" s="1"/>
    </row>
    <row r="20" spans="1:11">
      <c r="A20" s="26" t="s">
        <v>16</v>
      </c>
      <c r="B20" s="94" t="s">
        <v>76</v>
      </c>
      <c r="C20" s="94"/>
      <c r="D20" s="94"/>
      <c r="E20" s="68"/>
      <c r="F20" s="68"/>
      <c r="G20" s="94" t="s">
        <v>27</v>
      </c>
      <c r="H20" s="109"/>
      <c r="I20" s="27"/>
      <c r="J20" s="1"/>
    </row>
    <row r="21" spans="1:11">
      <c r="A21" s="26" t="s">
        <v>21</v>
      </c>
      <c r="B21" s="116">
        <v>140.75</v>
      </c>
      <c r="C21" s="116"/>
      <c r="D21" s="116"/>
      <c r="E21" s="71"/>
      <c r="F21" s="71"/>
      <c r="G21" s="9"/>
      <c r="H21" s="9"/>
      <c r="I21" s="28"/>
      <c r="J21" s="1"/>
    </row>
    <row r="22" spans="1:11" ht="45" customHeight="1">
      <c r="A22" s="26" t="s">
        <v>7</v>
      </c>
      <c r="B22" s="116" t="s">
        <v>81</v>
      </c>
      <c r="C22" s="116"/>
      <c r="D22" s="116"/>
      <c r="E22" s="116"/>
      <c r="F22" s="116"/>
      <c r="G22" s="116"/>
      <c r="H22" s="8"/>
      <c r="I22" s="29"/>
      <c r="J22" s="1"/>
    </row>
    <row r="23" spans="1:11">
      <c r="A23" s="26" t="s">
        <v>8</v>
      </c>
      <c r="B23" s="116" t="s">
        <v>82</v>
      </c>
      <c r="C23" s="116"/>
      <c r="D23" s="116"/>
      <c r="E23" s="71"/>
      <c r="F23" s="71"/>
      <c r="G23" s="9"/>
      <c r="H23" s="9"/>
      <c r="I23" s="28"/>
      <c r="J23" s="1"/>
    </row>
    <row r="24" spans="1:11">
      <c r="A24" s="26" t="s">
        <v>36</v>
      </c>
      <c r="B24" s="116" t="s">
        <v>85</v>
      </c>
      <c r="C24" s="116"/>
      <c r="D24" s="116"/>
      <c r="E24" s="71"/>
      <c r="F24" s="71"/>
      <c r="G24" s="8"/>
      <c r="H24" s="8"/>
      <c r="I24" s="29"/>
      <c r="J24" s="1"/>
    </row>
    <row r="25" spans="1:11">
      <c r="A25" s="24"/>
      <c r="B25" s="30"/>
      <c r="C25" s="30"/>
    </row>
    <row r="26" spans="1:11">
      <c r="A26" s="105" t="s">
        <v>63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</row>
    <row r="27" spans="1:11">
      <c r="A27" s="105" t="s">
        <v>64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</row>
    <row r="28" spans="1:11">
      <c r="A28" s="120" t="s">
        <v>144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spans="1:11">
      <c r="A29" s="98" t="s">
        <v>65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</row>
    <row r="30" spans="1:11">
      <c r="A30" s="10"/>
      <c r="B30" s="30"/>
      <c r="C30" s="10"/>
      <c r="D30" s="10"/>
      <c r="E30" s="10"/>
      <c r="F30" s="10"/>
      <c r="G30" s="10"/>
      <c r="H30" s="10" t="s">
        <v>46</v>
      </c>
      <c r="I30" s="10"/>
      <c r="J30" s="73"/>
      <c r="K30" s="10"/>
    </row>
    <row r="31" spans="1:11" ht="36" customHeight="1">
      <c r="A31" s="108" t="s">
        <v>31</v>
      </c>
      <c r="B31" s="99" t="s">
        <v>13</v>
      </c>
      <c r="C31" s="113" t="s">
        <v>130</v>
      </c>
      <c r="D31" s="114"/>
      <c r="E31" s="70"/>
      <c r="F31" s="70"/>
      <c r="G31" s="99" t="s">
        <v>69</v>
      </c>
      <c r="H31" s="99"/>
      <c r="I31" s="99"/>
      <c r="J31" s="99"/>
      <c r="K31" s="99"/>
    </row>
    <row r="32" spans="1:11" ht="61.5" customHeight="1">
      <c r="A32" s="108"/>
      <c r="B32" s="99"/>
      <c r="C32" s="31" t="s">
        <v>67</v>
      </c>
      <c r="D32" s="39" t="s">
        <v>68</v>
      </c>
      <c r="E32" s="39" t="s">
        <v>147</v>
      </c>
      <c r="F32" s="39" t="s">
        <v>148</v>
      </c>
      <c r="G32" s="39" t="s">
        <v>70</v>
      </c>
      <c r="H32" s="39" t="s">
        <v>71</v>
      </c>
      <c r="I32" s="39" t="s">
        <v>72</v>
      </c>
      <c r="J32" s="74" t="s">
        <v>145</v>
      </c>
      <c r="K32" s="39"/>
    </row>
    <row r="33" spans="1:12" ht="18" customHeight="1">
      <c r="A33" s="25">
        <v>1</v>
      </c>
      <c r="B33" s="11">
        <v>2</v>
      </c>
      <c r="C33" s="11">
        <v>3</v>
      </c>
      <c r="D33" s="11">
        <v>4</v>
      </c>
      <c r="E33" s="11"/>
      <c r="F33" s="11"/>
      <c r="G33" s="11">
        <v>5</v>
      </c>
      <c r="H33" s="11">
        <v>6</v>
      </c>
      <c r="I33" s="11">
        <v>7</v>
      </c>
      <c r="J33" s="75">
        <v>8</v>
      </c>
      <c r="K33" s="11"/>
    </row>
    <row r="34" spans="1:12" ht="18" customHeight="1">
      <c r="A34" s="100" t="s">
        <v>44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2" s="3" customFormat="1" ht="20.100000000000001" customHeight="1">
      <c r="A35" s="102" t="s">
        <v>49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</row>
    <row r="36" spans="1:12" s="3" customFormat="1" ht="32.25" customHeight="1">
      <c r="A36" s="63" t="s">
        <v>151</v>
      </c>
      <c r="B36" s="47">
        <v>100</v>
      </c>
      <c r="C36" s="12">
        <f t="shared" ref="C36:J36" si="0">C37+C42+C44+C47</f>
        <v>14748.5</v>
      </c>
      <c r="D36" s="12">
        <f t="shared" si="0"/>
        <v>17030.8</v>
      </c>
      <c r="E36" s="12">
        <f t="shared" si="0"/>
        <v>17700.8</v>
      </c>
      <c r="F36" s="12">
        <f>D36/E36*100</f>
        <v>96.214860345295122</v>
      </c>
      <c r="G36" s="12">
        <f t="shared" si="0"/>
        <v>7063.8</v>
      </c>
      <c r="H36" s="12">
        <f t="shared" si="0"/>
        <v>6714.2</v>
      </c>
      <c r="I36" s="12">
        <f t="shared" ref="I36:I41" si="1">H36/G36*100</f>
        <v>95.050822503468382</v>
      </c>
      <c r="J36" s="76">
        <f t="shared" si="0"/>
        <v>17030.800000000003</v>
      </c>
      <c r="K36" s="12"/>
    </row>
    <row r="37" spans="1:12" s="3" customFormat="1" ht="25.5" customHeight="1">
      <c r="A37" s="63" t="s">
        <v>89</v>
      </c>
      <c r="B37" s="47">
        <v>110</v>
      </c>
      <c r="C37" s="12">
        <f t="shared" ref="C37:J37" si="2">C38+C39+C40+C41</f>
        <v>13495</v>
      </c>
      <c r="D37" s="12">
        <f t="shared" si="2"/>
        <v>12048.2</v>
      </c>
      <c r="E37" s="12">
        <f t="shared" si="2"/>
        <v>12744.6</v>
      </c>
      <c r="F37" s="12">
        <f t="shared" ref="F37:F100" si="3">D37/E37*100</f>
        <v>94.535724934482062</v>
      </c>
      <c r="G37" s="12">
        <f t="shared" si="2"/>
        <v>6302.6</v>
      </c>
      <c r="H37" s="12">
        <f t="shared" si="2"/>
        <v>5921.5</v>
      </c>
      <c r="I37" s="12">
        <f t="shared" si="1"/>
        <v>93.953289118776368</v>
      </c>
      <c r="J37" s="76">
        <f t="shared" si="2"/>
        <v>12048.2</v>
      </c>
      <c r="K37" s="12"/>
    </row>
    <row r="38" spans="1:12" s="3" customFormat="1" ht="34.5" customHeight="1">
      <c r="A38" s="60" t="s">
        <v>90</v>
      </c>
      <c r="B38" s="48">
        <v>111</v>
      </c>
      <c r="C38" s="13">
        <f>5591.2+5595.8</f>
        <v>11187</v>
      </c>
      <c r="D38" s="13">
        <f>5397.1+5339.2</f>
        <v>10736.3</v>
      </c>
      <c r="E38" s="13">
        <v>11347</v>
      </c>
      <c r="F38" s="12">
        <f t="shared" si="3"/>
        <v>94.617960694456684</v>
      </c>
      <c r="G38" s="13">
        <v>5676</v>
      </c>
      <c r="H38" s="13">
        <v>5339.2</v>
      </c>
      <c r="I38" s="13">
        <f t="shared" si="1"/>
        <v>94.066243833685689</v>
      </c>
      <c r="J38" s="77">
        <v>10736.3</v>
      </c>
      <c r="K38" s="13"/>
      <c r="L38" s="67"/>
    </row>
    <row r="39" spans="1:12" s="3" customFormat="1" ht="25.5" customHeight="1">
      <c r="A39" s="60" t="s">
        <v>91</v>
      </c>
      <c r="B39" s="48">
        <v>112</v>
      </c>
      <c r="C39" s="13">
        <f>670.4+90.4</f>
        <v>760.8</v>
      </c>
      <c r="D39" s="13">
        <f>109+67.2</f>
        <v>176.2</v>
      </c>
      <c r="E39" s="13">
        <v>188.1</v>
      </c>
      <c r="F39" s="12">
        <f t="shared" si="3"/>
        <v>93.673577884104191</v>
      </c>
      <c r="G39" s="13">
        <f>88.6-20.6</f>
        <v>68</v>
      </c>
      <c r="H39" s="13">
        <v>67.2</v>
      </c>
      <c r="I39" s="13">
        <f t="shared" si="1"/>
        <v>98.82352941176471</v>
      </c>
      <c r="J39" s="77">
        <v>176.2</v>
      </c>
      <c r="K39" s="13"/>
    </row>
    <row r="40" spans="1:12" s="3" customFormat="1" ht="37.5" customHeight="1">
      <c r="A40" s="60" t="s">
        <v>92</v>
      </c>
      <c r="B40" s="48">
        <v>113</v>
      </c>
      <c r="C40" s="13">
        <f>301</f>
        <v>301</v>
      </c>
      <c r="D40" s="13">
        <f>30+8.1</f>
        <v>38.1</v>
      </c>
      <c r="E40" s="13">
        <v>39.1</v>
      </c>
      <c r="F40" s="12">
        <f t="shared" si="3"/>
        <v>97.442455242966759</v>
      </c>
      <c r="G40" s="13">
        <f>640.5-631.9</f>
        <v>8.6000000000000227</v>
      </c>
      <c r="H40" s="13">
        <v>8.1</v>
      </c>
      <c r="I40" s="13">
        <f t="shared" si="1"/>
        <v>94.186046511627652</v>
      </c>
      <c r="J40" s="77">
        <f>55.1-17</f>
        <v>38.1</v>
      </c>
      <c r="K40" s="13"/>
    </row>
    <row r="41" spans="1:12" s="3" customFormat="1" ht="33" customHeight="1">
      <c r="A41" s="60" t="s">
        <v>93</v>
      </c>
      <c r="B41" s="48">
        <v>114</v>
      </c>
      <c r="C41" s="13">
        <f>494.1+752.1</f>
        <v>1246.2</v>
      </c>
      <c r="D41" s="13">
        <f>590.6+507</f>
        <v>1097.5999999999999</v>
      </c>
      <c r="E41" s="13">
        <v>1170.4000000000001</v>
      </c>
      <c r="F41" s="12">
        <f t="shared" si="3"/>
        <v>93.779904306220089</v>
      </c>
      <c r="G41" s="13">
        <v>550</v>
      </c>
      <c r="H41" s="13">
        <v>507</v>
      </c>
      <c r="I41" s="13">
        <f t="shared" si="1"/>
        <v>92.181818181818187</v>
      </c>
      <c r="J41" s="77">
        <f>1273.8-J39</f>
        <v>1097.5999999999999</v>
      </c>
      <c r="K41" s="13"/>
    </row>
    <row r="42" spans="1:12" s="3" customFormat="1">
      <c r="A42" s="63" t="s">
        <v>45</v>
      </c>
      <c r="B42" s="47">
        <v>120</v>
      </c>
      <c r="C42" s="12">
        <f t="shared" ref="C42:J42" si="4">C43</f>
        <v>0</v>
      </c>
      <c r="D42" s="12">
        <f t="shared" si="4"/>
        <v>0</v>
      </c>
      <c r="E42" s="12">
        <v>0</v>
      </c>
      <c r="F42" s="12">
        <v>0</v>
      </c>
      <c r="G42" s="12">
        <f t="shared" si="4"/>
        <v>0</v>
      </c>
      <c r="H42" s="12">
        <f t="shared" si="4"/>
        <v>0</v>
      </c>
      <c r="I42" s="13">
        <v>0</v>
      </c>
      <c r="J42" s="76">
        <f t="shared" si="4"/>
        <v>0</v>
      </c>
      <c r="K42" s="12">
        <v>0</v>
      </c>
    </row>
    <row r="43" spans="1:12" s="3" customFormat="1" ht="41.25" customHeight="1">
      <c r="A43" s="85" t="s">
        <v>141</v>
      </c>
      <c r="B43" s="49">
        <v>121</v>
      </c>
      <c r="C43" s="13">
        <v>0</v>
      </c>
      <c r="D43" s="13">
        <v>0</v>
      </c>
      <c r="E43" s="13">
        <v>0</v>
      </c>
      <c r="F43" s="12">
        <v>0</v>
      </c>
      <c r="G43" s="13">
        <v>0</v>
      </c>
      <c r="H43" s="13">
        <v>0</v>
      </c>
      <c r="I43" s="13">
        <v>0</v>
      </c>
      <c r="J43" s="77">
        <v>0</v>
      </c>
      <c r="K43" s="13">
        <v>0</v>
      </c>
    </row>
    <row r="44" spans="1:12" s="3" customFormat="1" ht="20.25" customHeight="1">
      <c r="A44" s="64" t="s">
        <v>43</v>
      </c>
      <c r="B44" s="47">
        <v>130</v>
      </c>
      <c r="C44" s="12">
        <f t="shared" ref="C44:J44" si="5">C45+C46</f>
        <v>1253.5</v>
      </c>
      <c r="D44" s="12">
        <f t="shared" si="5"/>
        <v>4982.5999999999995</v>
      </c>
      <c r="E44" s="12">
        <f t="shared" si="5"/>
        <v>4956.2</v>
      </c>
      <c r="F44" s="12">
        <f t="shared" si="3"/>
        <v>100.53266615552236</v>
      </c>
      <c r="G44" s="12">
        <f t="shared" si="5"/>
        <v>761.2</v>
      </c>
      <c r="H44" s="12">
        <f t="shared" si="5"/>
        <v>792.69999999999993</v>
      </c>
      <c r="I44" s="13">
        <f t="shared" ref="I44:I60" si="6">H44/G44*100</f>
        <v>104.13820283762479</v>
      </c>
      <c r="J44" s="76">
        <f t="shared" si="5"/>
        <v>4982.6000000000004</v>
      </c>
      <c r="K44" s="13"/>
    </row>
    <row r="45" spans="1:12" s="3" customFormat="1">
      <c r="A45" s="62" t="s">
        <v>94</v>
      </c>
      <c r="B45" s="49">
        <v>131</v>
      </c>
      <c r="C45" s="13">
        <f>48.6+45.8</f>
        <v>94.4</v>
      </c>
      <c r="D45" s="13">
        <f>48.6+30.3</f>
        <v>78.900000000000006</v>
      </c>
      <c r="E45" s="13">
        <v>83</v>
      </c>
      <c r="F45" s="12">
        <f t="shared" si="3"/>
        <v>95.060240963855421</v>
      </c>
      <c r="G45" s="13">
        <f>48-15</f>
        <v>33</v>
      </c>
      <c r="H45" s="13">
        <v>30.3</v>
      </c>
      <c r="I45" s="13">
        <f t="shared" si="6"/>
        <v>91.818181818181827</v>
      </c>
      <c r="J45" s="77">
        <v>78.900000000000006</v>
      </c>
      <c r="K45" s="13"/>
    </row>
    <row r="46" spans="1:12" s="3" customFormat="1">
      <c r="A46" s="62" t="s">
        <v>95</v>
      </c>
      <c r="B46" s="49">
        <v>132</v>
      </c>
      <c r="C46" s="13">
        <f>362.9+796.2</f>
        <v>1159.0999999999999</v>
      </c>
      <c r="D46" s="13">
        <f>4141.3+762.4</f>
        <v>4903.7</v>
      </c>
      <c r="E46" s="13">
        <v>4873.2</v>
      </c>
      <c r="F46" s="12">
        <f t="shared" si="3"/>
        <v>100.62587211688418</v>
      </c>
      <c r="G46" s="13">
        <v>728.2</v>
      </c>
      <c r="H46" s="13">
        <v>762.4</v>
      </c>
      <c r="I46" s="13">
        <f t="shared" si="6"/>
        <v>104.69651194726724</v>
      </c>
      <c r="J46" s="77">
        <f>17030.8-J38-J39-J40-J41-J45</f>
        <v>4903.7000000000007</v>
      </c>
      <c r="K46" s="13"/>
    </row>
    <row r="47" spans="1:12" s="3" customFormat="1" hidden="1">
      <c r="A47" s="63" t="s">
        <v>124</v>
      </c>
      <c r="B47" s="49"/>
      <c r="C47" s="13"/>
      <c r="D47" s="13"/>
      <c r="E47" s="13"/>
      <c r="F47" s="12" t="e">
        <f t="shared" si="3"/>
        <v>#DIV/0!</v>
      </c>
      <c r="G47" s="13"/>
      <c r="H47" s="13"/>
      <c r="I47" s="13" t="e">
        <f t="shared" si="6"/>
        <v>#DIV/0!</v>
      </c>
      <c r="J47" s="77"/>
      <c r="K47" s="13"/>
    </row>
    <row r="48" spans="1:12" ht="18.75" customHeight="1">
      <c r="A48" s="63" t="s">
        <v>96</v>
      </c>
      <c r="B48" s="48"/>
      <c r="C48" s="12">
        <f t="shared" ref="C48:J48" si="7">C49+C87+C89</f>
        <v>14947.8</v>
      </c>
      <c r="D48" s="12">
        <f t="shared" si="7"/>
        <v>17486.699999999997</v>
      </c>
      <c r="E48" s="12">
        <f t="shared" si="7"/>
        <v>17700.8</v>
      </c>
      <c r="F48" s="12">
        <f t="shared" si="3"/>
        <v>98.790450149145798</v>
      </c>
      <c r="G48" s="12">
        <f t="shared" si="7"/>
        <v>7063.8</v>
      </c>
      <c r="H48" s="12">
        <f t="shared" si="7"/>
        <v>6918.2</v>
      </c>
      <c r="I48" s="13">
        <f t="shared" si="6"/>
        <v>97.938786488858682</v>
      </c>
      <c r="J48" s="76">
        <f t="shared" si="7"/>
        <v>17486.699999999997</v>
      </c>
      <c r="K48" s="13"/>
    </row>
    <row r="49" spans="1:16" s="4" customFormat="1" ht="20.100000000000001" customHeight="1">
      <c r="A49" s="63" t="s">
        <v>97</v>
      </c>
      <c r="B49" s="50"/>
      <c r="C49" s="12">
        <f>C50+C51+C52+C56+C53+C57+C58+C66</f>
        <v>13757.6</v>
      </c>
      <c r="D49" s="12">
        <f>D50+D51+D52+D56+D53+D57+D58+D66</f>
        <v>16351.799999999997</v>
      </c>
      <c r="E49" s="12">
        <f>E50+E51+E52+E56+E53+E57+E58+E66</f>
        <v>16482.3</v>
      </c>
      <c r="F49" s="12">
        <f t="shared" si="3"/>
        <v>99.208241568227734</v>
      </c>
      <c r="G49" s="12">
        <f>G50+G51+G52+G56+G53+G57+G58+G66</f>
        <v>6424.3</v>
      </c>
      <c r="H49" s="12">
        <f>H50+H51+H52+H56+H53+H57+H58+H66</f>
        <v>6326.0999999999995</v>
      </c>
      <c r="I49" s="13">
        <f t="shared" si="6"/>
        <v>98.471428793798538</v>
      </c>
      <c r="J49" s="76">
        <f>J50+J51+J52+J53+J56+J57+J58+J66</f>
        <v>16351.799999999997</v>
      </c>
      <c r="K49" s="13"/>
    </row>
    <row r="50" spans="1:16" s="4" customFormat="1" ht="20.100000000000001" customHeight="1">
      <c r="A50" s="60" t="s">
        <v>3</v>
      </c>
      <c r="B50" s="11">
        <v>200</v>
      </c>
      <c r="C50" s="13">
        <f>4152.8+4110.5</f>
        <v>8263.2999999999993</v>
      </c>
      <c r="D50" s="13">
        <f>4173.7+4197.2</f>
        <v>8370.9</v>
      </c>
      <c r="E50" s="13">
        <v>8720</v>
      </c>
      <c r="F50" s="12">
        <f t="shared" si="3"/>
        <v>95.996559633027516</v>
      </c>
      <c r="G50" s="13">
        <f>4500-200</f>
        <v>4300</v>
      </c>
      <c r="H50" s="13">
        <v>4197.2</v>
      </c>
      <c r="I50" s="13">
        <f t="shared" si="6"/>
        <v>97.609302325581396</v>
      </c>
      <c r="J50" s="77">
        <v>8370.9</v>
      </c>
      <c r="K50" s="13"/>
    </row>
    <row r="51" spans="1:16" s="4" customFormat="1" ht="16.899999999999999" customHeight="1">
      <c r="A51" s="60" t="s">
        <v>98</v>
      </c>
      <c r="B51" s="11">
        <v>210</v>
      </c>
      <c r="C51" s="13">
        <f>842+833.2</f>
        <v>1675.2</v>
      </c>
      <c r="D51" s="13">
        <f>862.5+836.8</f>
        <v>1699.3</v>
      </c>
      <c r="E51" s="13">
        <v>1807.2</v>
      </c>
      <c r="F51" s="12">
        <f t="shared" si="3"/>
        <v>94.029437804338201</v>
      </c>
      <c r="G51" s="13">
        <f>900-18</f>
        <v>882</v>
      </c>
      <c r="H51" s="13">
        <v>836.8</v>
      </c>
      <c r="I51" s="13">
        <f t="shared" si="6"/>
        <v>94.875283446712018</v>
      </c>
      <c r="J51" s="77">
        <v>1699.3</v>
      </c>
      <c r="K51" s="13"/>
    </row>
    <row r="52" spans="1:16" s="4" customFormat="1" ht="26.45" hidden="1" customHeight="1">
      <c r="A52" s="60"/>
      <c r="B52" s="11">
        <v>230</v>
      </c>
      <c r="C52" s="13"/>
      <c r="D52" s="13"/>
      <c r="E52" s="13"/>
      <c r="F52" s="12" t="e">
        <f t="shared" si="3"/>
        <v>#DIV/0!</v>
      </c>
      <c r="G52" s="13"/>
      <c r="H52" s="13"/>
      <c r="I52" s="13" t="e">
        <f t="shared" si="6"/>
        <v>#DIV/0!</v>
      </c>
      <c r="J52" s="77"/>
      <c r="K52" s="16"/>
    </row>
    <row r="53" spans="1:16" s="4" customFormat="1" ht="19.5" customHeight="1">
      <c r="A53" s="60" t="s">
        <v>100</v>
      </c>
      <c r="B53" s="11">
        <v>230</v>
      </c>
      <c r="C53" s="13">
        <f>158.8+415.1</f>
        <v>573.90000000000009</v>
      </c>
      <c r="D53" s="13">
        <f>110.8+109.2</f>
        <v>220</v>
      </c>
      <c r="E53" s="13">
        <v>230.1</v>
      </c>
      <c r="F53" s="12">
        <f t="shared" si="3"/>
        <v>95.610604085180356</v>
      </c>
      <c r="G53" s="13">
        <f>276.1-166.1</f>
        <v>110.00000000000003</v>
      </c>
      <c r="H53" s="13">
        <f>67.2+42</f>
        <v>109.2</v>
      </c>
      <c r="I53" s="13">
        <f t="shared" si="6"/>
        <v>99.272727272727252</v>
      </c>
      <c r="J53" s="77">
        <f>220</f>
        <v>220</v>
      </c>
      <c r="K53" s="13"/>
      <c r="P53" s="92" t="s">
        <v>149</v>
      </c>
    </row>
    <row r="54" spans="1:16" s="4" customFormat="1" ht="12.75" hidden="1" customHeight="1">
      <c r="A54" s="60" t="s">
        <v>41</v>
      </c>
      <c r="B54" s="11">
        <v>143</v>
      </c>
      <c r="C54" s="13"/>
      <c r="D54" s="13"/>
      <c r="E54" s="13"/>
      <c r="F54" s="12" t="e">
        <f t="shared" si="3"/>
        <v>#DIV/0!</v>
      </c>
      <c r="G54" s="13"/>
      <c r="H54" s="13"/>
      <c r="I54" s="13" t="e">
        <f t="shared" si="6"/>
        <v>#DIV/0!</v>
      </c>
      <c r="J54" s="77"/>
      <c r="K54" s="13"/>
    </row>
    <row r="55" spans="1:16" s="4" customFormat="1" ht="17.25" hidden="1" customHeight="1">
      <c r="A55" s="60" t="s">
        <v>47</v>
      </c>
      <c r="B55" s="11">
        <v>150</v>
      </c>
      <c r="C55" s="13"/>
      <c r="D55" s="13"/>
      <c r="E55" s="13"/>
      <c r="F55" s="12" t="e">
        <f t="shared" si="3"/>
        <v>#DIV/0!</v>
      </c>
      <c r="G55" s="13"/>
      <c r="H55" s="13"/>
      <c r="I55" s="13" t="e">
        <f t="shared" si="6"/>
        <v>#DIV/0!</v>
      </c>
      <c r="J55" s="77"/>
      <c r="K55" s="13"/>
    </row>
    <row r="56" spans="1:16" s="4" customFormat="1" ht="16.5" customHeight="1">
      <c r="A56" s="60" t="s">
        <v>101</v>
      </c>
      <c r="B56" s="11">
        <v>240</v>
      </c>
      <c r="C56" s="13">
        <f>864.8+958.4</f>
        <v>1823.1999999999998</v>
      </c>
      <c r="D56" s="13">
        <f>3705.5+852.2</f>
        <v>4557.7</v>
      </c>
      <c r="E56" s="13">
        <v>4192.5</v>
      </c>
      <c r="F56" s="12">
        <f t="shared" si="3"/>
        <v>108.7107930828861</v>
      </c>
      <c r="G56" s="13">
        <f>794.8</f>
        <v>794.8</v>
      </c>
      <c r="H56" s="13">
        <v>852.2</v>
      </c>
      <c r="I56" s="13">
        <f t="shared" si="6"/>
        <v>107.221942627076</v>
      </c>
      <c r="J56" s="77">
        <f>4410.2+147.5</f>
        <v>4557.7</v>
      </c>
      <c r="K56" s="13"/>
    </row>
    <row r="57" spans="1:16" s="4" customFormat="1" ht="19.5" customHeight="1">
      <c r="A57" s="60" t="s">
        <v>127</v>
      </c>
      <c r="B57" s="11">
        <v>250</v>
      </c>
      <c r="C57" s="13">
        <f>133.9+228.8</f>
        <v>362.70000000000005</v>
      </c>
      <c r="D57" s="13">
        <f>193.9+86.3</f>
        <v>280.2</v>
      </c>
      <c r="E57" s="13">
        <v>305</v>
      </c>
      <c r="F57" s="12">
        <f t="shared" si="3"/>
        <v>91.868852459016395</v>
      </c>
      <c r="G57" s="13">
        <v>95</v>
      </c>
      <c r="H57" s="13">
        <v>86.3</v>
      </c>
      <c r="I57" s="13">
        <f t="shared" si="6"/>
        <v>90.84210526315789</v>
      </c>
      <c r="J57" s="77">
        <v>280.2</v>
      </c>
      <c r="K57" s="13"/>
    </row>
    <row r="58" spans="1:16" s="4" customFormat="1" ht="19.5" customHeight="1">
      <c r="A58" s="60" t="s">
        <v>86</v>
      </c>
      <c r="B58" s="11">
        <v>260</v>
      </c>
      <c r="C58" s="12">
        <f t="shared" ref="C58:J58" si="8">C59+C60+C61+C62+C63</f>
        <v>760.80000000000007</v>
      </c>
      <c r="D58" s="12">
        <f t="shared" si="8"/>
        <v>975.30000000000007</v>
      </c>
      <c r="E58" s="12">
        <f t="shared" si="8"/>
        <v>979.30000000000007</v>
      </c>
      <c r="F58" s="12">
        <f t="shared" si="3"/>
        <v>99.591544981108953</v>
      </c>
      <c r="G58" s="12">
        <f t="shared" si="8"/>
        <v>116.5</v>
      </c>
      <c r="H58" s="12">
        <f t="shared" si="8"/>
        <v>115.4</v>
      </c>
      <c r="I58" s="13">
        <f t="shared" si="6"/>
        <v>99.055793991416323</v>
      </c>
      <c r="J58" s="76">
        <f t="shared" si="8"/>
        <v>975.30000000000007</v>
      </c>
      <c r="K58" s="13"/>
    </row>
    <row r="59" spans="1:16" s="4" customFormat="1" ht="19.5" customHeight="1">
      <c r="A59" s="62" t="s">
        <v>34</v>
      </c>
      <c r="B59" s="51">
        <v>261</v>
      </c>
      <c r="C59" s="13">
        <f>64.4+86.2</f>
        <v>150.60000000000002</v>
      </c>
      <c r="D59" s="13">
        <f>97.4+65.2</f>
        <v>162.60000000000002</v>
      </c>
      <c r="E59" s="13">
        <v>166</v>
      </c>
      <c r="F59" s="12">
        <f t="shared" si="3"/>
        <v>97.951807228915683</v>
      </c>
      <c r="G59" s="13">
        <f>74.5-8.5</f>
        <v>66</v>
      </c>
      <c r="H59" s="13">
        <v>65.2</v>
      </c>
      <c r="I59" s="13">
        <f t="shared" si="6"/>
        <v>98.787878787878796</v>
      </c>
      <c r="J59" s="77">
        <v>162.6</v>
      </c>
      <c r="K59" s="13"/>
    </row>
    <row r="60" spans="1:16" s="4" customFormat="1" ht="19.5" customHeight="1">
      <c r="A60" s="62" t="s">
        <v>38</v>
      </c>
      <c r="B60" s="51">
        <v>262</v>
      </c>
      <c r="C60" s="13">
        <f>4.3+4.2</f>
        <v>8.5</v>
      </c>
      <c r="D60" s="13">
        <f>6.8+6.7</f>
        <v>13.5</v>
      </c>
      <c r="E60" s="13">
        <v>14.1</v>
      </c>
      <c r="F60" s="12">
        <f t="shared" si="3"/>
        <v>95.744680851063833</v>
      </c>
      <c r="G60" s="13">
        <f>10.1-3.1</f>
        <v>7</v>
      </c>
      <c r="H60" s="13">
        <v>6.7</v>
      </c>
      <c r="I60" s="13">
        <f t="shared" si="6"/>
        <v>95.714285714285722</v>
      </c>
      <c r="J60" s="77">
        <v>13.5</v>
      </c>
      <c r="K60" s="13"/>
    </row>
    <row r="61" spans="1:16" s="4" customFormat="1" ht="19.5" customHeight="1">
      <c r="A61" s="62" t="s">
        <v>87</v>
      </c>
      <c r="B61" s="51">
        <v>263</v>
      </c>
      <c r="C61" s="13"/>
      <c r="D61" s="13">
        <v>0</v>
      </c>
      <c r="E61" s="13"/>
      <c r="F61" s="12"/>
      <c r="G61" s="13"/>
      <c r="H61" s="13">
        <v>0</v>
      </c>
      <c r="I61" s="13"/>
      <c r="J61" s="77"/>
      <c r="K61" s="13"/>
    </row>
    <row r="62" spans="1:16" s="4" customFormat="1" ht="19.5" customHeight="1">
      <c r="A62" s="62" t="s">
        <v>150</v>
      </c>
      <c r="B62" s="51">
        <v>264</v>
      </c>
      <c r="C62" s="13">
        <v>601.70000000000005</v>
      </c>
      <c r="D62" s="13">
        <f>755.7+43.5</f>
        <v>799.2</v>
      </c>
      <c r="E62" s="13">
        <v>799.2</v>
      </c>
      <c r="F62" s="12">
        <f t="shared" si="3"/>
        <v>100</v>
      </c>
      <c r="G62" s="13">
        <v>43.5</v>
      </c>
      <c r="H62" s="13">
        <v>43.5</v>
      </c>
      <c r="I62" s="13">
        <f>H62/G62*100</f>
        <v>100</v>
      </c>
      <c r="J62" s="77">
        <v>799.2</v>
      </c>
      <c r="K62" s="13"/>
    </row>
    <row r="63" spans="1:16" s="4" customFormat="1" ht="17.25" customHeight="1">
      <c r="A63" s="62" t="s">
        <v>137</v>
      </c>
      <c r="B63" s="51">
        <v>265</v>
      </c>
      <c r="C63" s="13"/>
      <c r="D63" s="13">
        <v>0</v>
      </c>
      <c r="E63" s="13"/>
      <c r="F63" s="12"/>
      <c r="G63" s="13"/>
      <c r="H63" s="13">
        <v>0</v>
      </c>
      <c r="I63" s="13"/>
      <c r="J63" s="77">
        <v>0</v>
      </c>
      <c r="K63" s="13"/>
    </row>
    <row r="64" spans="1:16" s="4" customFormat="1" ht="1.5" hidden="1" customHeight="1">
      <c r="A64" s="60" t="s">
        <v>102</v>
      </c>
      <c r="B64" s="11">
        <v>280</v>
      </c>
      <c r="C64" s="13"/>
      <c r="D64" s="13"/>
      <c r="E64" s="13"/>
      <c r="F64" s="12" t="e">
        <f t="shared" si="3"/>
        <v>#DIV/0!</v>
      </c>
      <c r="G64" s="13"/>
      <c r="H64" s="13"/>
      <c r="I64" s="13" t="e">
        <f t="shared" ref="I64:I101" si="9">H64/G64*100</f>
        <v>#DIV/0!</v>
      </c>
      <c r="J64" s="77"/>
      <c r="K64" s="13"/>
    </row>
    <row r="65" spans="1:11" s="4" customFormat="1" ht="19.5" hidden="1" customHeight="1">
      <c r="A65" s="60" t="s">
        <v>103</v>
      </c>
      <c r="B65" s="11">
        <v>290</v>
      </c>
      <c r="C65" s="13"/>
      <c r="D65" s="13"/>
      <c r="E65" s="13"/>
      <c r="F65" s="12" t="e">
        <f t="shared" si="3"/>
        <v>#DIV/0!</v>
      </c>
      <c r="G65" s="13"/>
      <c r="H65" s="13"/>
      <c r="I65" s="13" t="e">
        <f t="shared" si="9"/>
        <v>#DIV/0!</v>
      </c>
      <c r="J65" s="77"/>
      <c r="K65" s="13"/>
    </row>
    <row r="66" spans="1:11" s="4" customFormat="1" ht="17.25" customHeight="1">
      <c r="A66" s="63" t="s">
        <v>104</v>
      </c>
      <c r="B66" s="50">
        <v>300</v>
      </c>
      <c r="C66" s="12">
        <f t="shared" ref="C66:J66" si="10">C72+C73+C79+C80+C81+C82+C83+C84+C85+C86</f>
        <v>298.5</v>
      </c>
      <c r="D66" s="12">
        <f t="shared" si="10"/>
        <v>248.4</v>
      </c>
      <c r="E66" s="12">
        <f t="shared" si="10"/>
        <v>248.2</v>
      </c>
      <c r="F66" s="12">
        <f t="shared" si="3"/>
        <v>100.08058017727639</v>
      </c>
      <c r="G66" s="12">
        <f t="shared" si="10"/>
        <v>126</v>
      </c>
      <c r="H66" s="12">
        <f>H72+H73+H79+H80+H81+H82+H83+H84+H85+H86</f>
        <v>129</v>
      </c>
      <c r="I66" s="13">
        <f t="shared" si="9"/>
        <v>102.38095238095238</v>
      </c>
      <c r="J66" s="76">
        <f t="shared" si="10"/>
        <v>248.39999999999998</v>
      </c>
      <c r="K66" s="13"/>
    </row>
    <row r="67" spans="1:11" s="4" customFormat="1" ht="19.5" hidden="1" customHeight="1">
      <c r="A67" s="62" t="s">
        <v>34</v>
      </c>
      <c r="B67" s="51">
        <v>161</v>
      </c>
      <c r="C67" s="13"/>
      <c r="D67" s="13"/>
      <c r="E67" s="13"/>
      <c r="F67" s="12" t="e">
        <f t="shared" si="3"/>
        <v>#DIV/0!</v>
      </c>
      <c r="G67" s="13"/>
      <c r="H67" s="13"/>
      <c r="I67" s="13" t="e">
        <f t="shared" si="9"/>
        <v>#DIV/0!</v>
      </c>
      <c r="J67" s="77"/>
      <c r="K67" s="13"/>
    </row>
    <row r="68" spans="1:11" s="4" customFormat="1" ht="19.5" hidden="1" customHeight="1">
      <c r="A68" s="62" t="s">
        <v>38</v>
      </c>
      <c r="B68" s="51">
        <v>162</v>
      </c>
      <c r="C68" s="13"/>
      <c r="D68" s="13"/>
      <c r="E68" s="13"/>
      <c r="F68" s="12" t="e">
        <f t="shared" si="3"/>
        <v>#DIV/0!</v>
      </c>
      <c r="G68" s="13"/>
      <c r="H68" s="13"/>
      <c r="I68" s="13" t="e">
        <f t="shared" si="9"/>
        <v>#DIV/0!</v>
      </c>
      <c r="J68" s="77"/>
      <c r="K68" s="13"/>
    </row>
    <row r="69" spans="1:11" s="4" customFormat="1" ht="19.5" hidden="1" customHeight="1">
      <c r="A69" s="62" t="s">
        <v>39</v>
      </c>
      <c r="B69" s="51">
        <v>163</v>
      </c>
      <c r="C69" s="13"/>
      <c r="D69" s="13"/>
      <c r="E69" s="13"/>
      <c r="F69" s="12" t="e">
        <f t="shared" si="3"/>
        <v>#DIV/0!</v>
      </c>
      <c r="G69" s="13"/>
      <c r="H69" s="13"/>
      <c r="I69" s="13" t="e">
        <f t="shared" si="9"/>
        <v>#DIV/0!</v>
      </c>
      <c r="J69" s="77"/>
      <c r="K69" s="13"/>
    </row>
    <row r="70" spans="1:11" s="4" customFormat="1" ht="19.5" hidden="1" customHeight="1">
      <c r="A70" s="62" t="s">
        <v>40</v>
      </c>
      <c r="B70" s="51">
        <v>164</v>
      </c>
      <c r="C70" s="13"/>
      <c r="D70" s="13"/>
      <c r="E70" s="13"/>
      <c r="F70" s="12" t="e">
        <f t="shared" si="3"/>
        <v>#DIV/0!</v>
      </c>
      <c r="G70" s="13"/>
      <c r="H70" s="13"/>
      <c r="I70" s="13" t="e">
        <f t="shared" si="9"/>
        <v>#DIV/0!</v>
      </c>
      <c r="J70" s="77"/>
      <c r="K70" s="13"/>
    </row>
    <row r="71" spans="1:11" s="4" customFormat="1" ht="19.5" hidden="1" customHeight="1">
      <c r="A71" s="62" t="s">
        <v>42</v>
      </c>
      <c r="B71" s="51">
        <v>165</v>
      </c>
      <c r="C71" s="13"/>
      <c r="D71" s="13"/>
      <c r="E71" s="13"/>
      <c r="F71" s="12" t="e">
        <f t="shared" si="3"/>
        <v>#DIV/0!</v>
      </c>
      <c r="G71" s="13"/>
      <c r="H71" s="13"/>
      <c r="I71" s="13" t="e">
        <f t="shared" si="9"/>
        <v>#DIV/0!</v>
      </c>
      <c r="J71" s="77"/>
      <c r="K71" s="13"/>
    </row>
    <row r="72" spans="1:11" s="4" customFormat="1" ht="18" customHeight="1">
      <c r="A72" s="60" t="s">
        <v>105</v>
      </c>
      <c r="B72" s="11">
        <v>307</v>
      </c>
      <c r="C72" s="13">
        <f>2.5+4.1</f>
        <v>6.6</v>
      </c>
      <c r="D72" s="13"/>
      <c r="E72" s="13"/>
      <c r="F72" s="12"/>
      <c r="G72" s="13"/>
      <c r="H72" s="13">
        <v>0</v>
      </c>
      <c r="I72" s="13"/>
      <c r="J72" s="77"/>
      <c r="K72" s="13"/>
    </row>
    <row r="73" spans="1:11" s="4" customFormat="1" ht="19.5" customHeight="1">
      <c r="A73" s="60" t="s">
        <v>128</v>
      </c>
      <c r="B73" s="11">
        <v>308</v>
      </c>
      <c r="C73" s="13">
        <f>25.5+118.3</f>
        <v>143.80000000000001</v>
      </c>
      <c r="D73" s="13">
        <f>84.7+113.9</f>
        <v>198.60000000000002</v>
      </c>
      <c r="E73" s="13">
        <v>196</v>
      </c>
      <c r="F73" s="12">
        <f>D73/E73*100</f>
        <v>101.32653061224491</v>
      </c>
      <c r="G73" s="13">
        <v>110</v>
      </c>
      <c r="H73" s="13">
        <v>113.9</v>
      </c>
      <c r="I73" s="13">
        <f t="shared" si="9"/>
        <v>103.54545454545455</v>
      </c>
      <c r="J73" s="77">
        <v>198.6</v>
      </c>
      <c r="K73" s="13"/>
    </row>
    <row r="74" spans="1:11" s="4" customFormat="1" ht="2.25" hidden="1" customHeight="1">
      <c r="A74" s="60"/>
      <c r="B74" s="11">
        <v>308</v>
      </c>
      <c r="C74" s="13"/>
      <c r="D74" s="13"/>
      <c r="E74" s="13"/>
      <c r="F74" s="12" t="e">
        <f t="shared" si="3"/>
        <v>#DIV/0!</v>
      </c>
      <c r="G74" s="13"/>
      <c r="H74" s="13"/>
      <c r="I74" s="13" t="e">
        <f t="shared" si="9"/>
        <v>#DIV/0!</v>
      </c>
      <c r="J74" s="77"/>
      <c r="K74" s="13"/>
    </row>
    <row r="75" spans="1:11" s="4" customFormat="1" ht="19.5" hidden="1" customHeight="1">
      <c r="A75" s="60" t="s">
        <v>107</v>
      </c>
      <c r="B75" s="11">
        <v>310</v>
      </c>
      <c r="C75" s="13"/>
      <c r="D75" s="13"/>
      <c r="E75" s="13"/>
      <c r="F75" s="12" t="e">
        <f t="shared" si="3"/>
        <v>#DIV/0!</v>
      </c>
      <c r="G75" s="13"/>
      <c r="H75" s="13"/>
      <c r="I75" s="13" t="e">
        <f t="shared" si="9"/>
        <v>#DIV/0!</v>
      </c>
      <c r="J75" s="77"/>
      <c r="K75" s="13"/>
    </row>
    <row r="76" spans="1:11" s="4" customFormat="1" ht="19.5" hidden="1" customHeight="1">
      <c r="A76" s="60" t="s">
        <v>108</v>
      </c>
      <c r="B76" s="11">
        <v>305</v>
      </c>
      <c r="C76" s="13"/>
      <c r="D76" s="13"/>
      <c r="E76" s="13"/>
      <c r="F76" s="12" t="e">
        <f t="shared" si="3"/>
        <v>#DIV/0!</v>
      </c>
      <c r="G76" s="13"/>
      <c r="H76" s="13"/>
      <c r="I76" s="13" t="e">
        <f t="shared" si="9"/>
        <v>#DIV/0!</v>
      </c>
      <c r="J76" s="77"/>
      <c r="K76" s="13"/>
    </row>
    <row r="77" spans="1:11" s="4" customFormat="1" ht="19.5" hidden="1" customHeight="1">
      <c r="A77" s="60" t="s">
        <v>131</v>
      </c>
      <c r="B77" s="11">
        <v>306</v>
      </c>
      <c r="C77" s="13"/>
      <c r="D77" s="13"/>
      <c r="E77" s="13"/>
      <c r="F77" s="12" t="e">
        <f t="shared" si="3"/>
        <v>#DIV/0!</v>
      </c>
      <c r="G77" s="13"/>
      <c r="H77" s="13"/>
      <c r="I77" s="13" t="e">
        <f t="shared" si="9"/>
        <v>#DIV/0!</v>
      </c>
      <c r="J77" s="77"/>
      <c r="K77" s="13"/>
    </row>
    <row r="78" spans="1:11" s="4" customFormat="1" ht="19.5" hidden="1" customHeight="1">
      <c r="A78" s="60" t="s">
        <v>132</v>
      </c>
      <c r="B78" s="11">
        <v>307</v>
      </c>
      <c r="C78" s="13"/>
      <c r="D78" s="13"/>
      <c r="E78" s="13"/>
      <c r="F78" s="12" t="e">
        <f t="shared" si="3"/>
        <v>#DIV/0!</v>
      </c>
      <c r="G78" s="13"/>
      <c r="H78" s="13"/>
      <c r="I78" s="13" t="e">
        <f t="shared" si="9"/>
        <v>#DIV/0!</v>
      </c>
      <c r="J78" s="77"/>
      <c r="K78" s="13"/>
    </row>
    <row r="79" spans="1:11" s="4" customFormat="1" ht="18" customHeight="1">
      <c r="A79" s="60" t="s">
        <v>125</v>
      </c>
      <c r="B79" s="11">
        <v>309</v>
      </c>
      <c r="C79" s="13">
        <f>122+26.1</f>
        <v>148.1</v>
      </c>
      <c r="D79" s="13">
        <f>33.5+14.1</f>
        <v>47.6</v>
      </c>
      <c r="E79" s="13">
        <v>50</v>
      </c>
      <c r="F79" s="12">
        <f t="shared" si="3"/>
        <v>95.2</v>
      </c>
      <c r="G79" s="13">
        <v>15</v>
      </c>
      <c r="H79" s="13">
        <v>14.1</v>
      </c>
      <c r="I79" s="13">
        <f t="shared" si="9"/>
        <v>94</v>
      </c>
      <c r="J79" s="77">
        <v>47.6</v>
      </c>
      <c r="K79" s="13"/>
    </row>
    <row r="80" spans="1:11" s="4" customFormat="1" ht="15.75" hidden="1" customHeight="1">
      <c r="A80" s="60" t="s">
        <v>107</v>
      </c>
      <c r="B80" s="11">
        <v>309</v>
      </c>
      <c r="C80" s="13"/>
      <c r="D80" s="13"/>
      <c r="E80" s="13"/>
      <c r="F80" s="12" t="e">
        <f t="shared" si="3"/>
        <v>#DIV/0!</v>
      </c>
      <c r="G80" s="13"/>
      <c r="H80" s="13"/>
      <c r="I80" s="13" t="e">
        <f t="shared" si="9"/>
        <v>#DIV/0!</v>
      </c>
      <c r="J80" s="77"/>
      <c r="K80" s="13"/>
    </row>
    <row r="81" spans="1:12" s="4" customFormat="1" ht="22.5" hidden="1" customHeight="1">
      <c r="A81" s="60"/>
      <c r="B81" s="11">
        <v>310</v>
      </c>
      <c r="C81" s="13"/>
      <c r="D81" s="13"/>
      <c r="E81" s="13"/>
      <c r="F81" s="12" t="e">
        <f t="shared" si="3"/>
        <v>#DIV/0!</v>
      </c>
      <c r="G81" s="13"/>
      <c r="H81" s="13"/>
      <c r="I81" s="13" t="e">
        <f t="shared" si="9"/>
        <v>#DIV/0!</v>
      </c>
      <c r="J81" s="77"/>
      <c r="K81" s="13"/>
    </row>
    <row r="82" spans="1:12" s="4" customFormat="1" ht="15.75" hidden="1" customHeight="1">
      <c r="A82" s="60"/>
      <c r="B82" s="11">
        <v>311</v>
      </c>
      <c r="C82" s="13"/>
      <c r="D82" s="13"/>
      <c r="E82" s="13"/>
      <c r="F82" s="12" t="e">
        <f t="shared" si="3"/>
        <v>#DIV/0!</v>
      </c>
      <c r="G82" s="13"/>
      <c r="H82" s="13"/>
      <c r="I82" s="13" t="e">
        <f t="shared" si="9"/>
        <v>#DIV/0!</v>
      </c>
      <c r="J82" s="77"/>
      <c r="K82" s="13"/>
      <c r="L82" s="5"/>
    </row>
    <row r="83" spans="1:12" ht="15" hidden="1" customHeight="1">
      <c r="A83" s="60"/>
      <c r="B83" s="11">
        <v>312</v>
      </c>
      <c r="C83" s="13"/>
      <c r="D83" s="13"/>
      <c r="E83" s="13"/>
      <c r="F83" s="12" t="e">
        <f t="shared" si="3"/>
        <v>#DIV/0!</v>
      </c>
      <c r="G83" s="13"/>
      <c r="H83" s="13"/>
      <c r="I83" s="13" t="e">
        <f t="shared" si="9"/>
        <v>#DIV/0!</v>
      </c>
      <c r="J83" s="77"/>
      <c r="K83" s="13"/>
    </row>
    <row r="84" spans="1:12" ht="15.75" hidden="1" customHeight="1">
      <c r="A84" s="60"/>
      <c r="B84" s="11">
        <v>313</v>
      </c>
      <c r="C84" s="13"/>
      <c r="D84" s="13"/>
      <c r="E84" s="13"/>
      <c r="F84" s="12" t="e">
        <f t="shared" si="3"/>
        <v>#DIV/0!</v>
      </c>
      <c r="G84" s="13"/>
      <c r="H84" s="13"/>
      <c r="I84" s="13" t="e">
        <f t="shared" si="9"/>
        <v>#DIV/0!</v>
      </c>
      <c r="J84" s="77"/>
      <c r="K84" s="13"/>
    </row>
    <row r="85" spans="1:12" ht="0.75" hidden="1" customHeight="1">
      <c r="A85" s="60" t="s">
        <v>133</v>
      </c>
      <c r="B85" s="11">
        <v>309</v>
      </c>
      <c r="C85" s="13"/>
      <c r="D85" s="13"/>
      <c r="E85" s="13"/>
      <c r="F85" s="12" t="e">
        <f t="shared" si="3"/>
        <v>#DIV/0!</v>
      </c>
      <c r="G85" s="13"/>
      <c r="H85" s="13"/>
      <c r="I85" s="13" t="e">
        <f t="shared" si="9"/>
        <v>#DIV/0!</v>
      </c>
      <c r="J85" s="77"/>
      <c r="K85" s="13"/>
    </row>
    <row r="86" spans="1:12" ht="19.5" customHeight="1">
      <c r="A86" s="60" t="s">
        <v>17</v>
      </c>
      <c r="B86" s="11">
        <v>310</v>
      </c>
      <c r="C86" s="13"/>
      <c r="D86" s="13">
        <f>1.2+1</f>
        <v>2.2000000000000002</v>
      </c>
      <c r="E86" s="13">
        <v>2.2000000000000002</v>
      </c>
      <c r="F86" s="12">
        <f t="shared" si="3"/>
        <v>100</v>
      </c>
      <c r="G86" s="13">
        <v>1</v>
      </c>
      <c r="H86" s="13">
        <v>1</v>
      </c>
      <c r="I86" s="13">
        <f t="shared" si="9"/>
        <v>100</v>
      </c>
      <c r="J86" s="77">
        <v>2.2000000000000002</v>
      </c>
      <c r="K86" s="13"/>
    </row>
    <row r="87" spans="1:12" s="4" customFormat="1" ht="20.100000000000001" customHeight="1">
      <c r="A87" s="63" t="s">
        <v>109</v>
      </c>
      <c r="B87" s="47">
        <v>320</v>
      </c>
      <c r="C87" s="12">
        <v>0</v>
      </c>
      <c r="D87" s="12">
        <v>0</v>
      </c>
      <c r="E87" s="12"/>
      <c r="F87" s="12"/>
      <c r="G87" s="15">
        <v>0</v>
      </c>
      <c r="H87" s="15">
        <v>0</v>
      </c>
      <c r="I87" s="13"/>
      <c r="J87" s="76">
        <v>0</v>
      </c>
      <c r="K87" s="12"/>
    </row>
    <row r="88" spans="1:12" s="4" customFormat="1" ht="20.100000000000001" customHeight="1">
      <c r="A88" s="60" t="s">
        <v>110</v>
      </c>
      <c r="B88" s="48">
        <v>330</v>
      </c>
      <c r="C88" s="13">
        <f>258.6+346.2</f>
        <v>604.79999999999995</v>
      </c>
      <c r="D88" s="13">
        <f>373.7+349.2</f>
        <v>722.9</v>
      </c>
      <c r="E88" s="13">
        <v>722.9</v>
      </c>
      <c r="F88" s="12">
        <f t="shared" si="3"/>
        <v>100</v>
      </c>
      <c r="G88" s="15">
        <v>349.2</v>
      </c>
      <c r="H88" s="15">
        <v>349.2</v>
      </c>
      <c r="I88" s="13">
        <f t="shared" si="9"/>
        <v>100</v>
      </c>
      <c r="J88" s="77">
        <v>722.9</v>
      </c>
      <c r="K88" s="13"/>
    </row>
    <row r="89" spans="1:12" s="4" customFormat="1" ht="19.5" customHeight="1">
      <c r="A89" s="63" t="s">
        <v>111</v>
      </c>
      <c r="B89" s="47">
        <v>340</v>
      </c>
      <c r="C89" s="12">
        <f t="shared" ref="C89:J89" si="11">C91+C92+C94+C96+C93</f>
        <v>1190.1999999999998</v>
      </c>
      <c r="D89" s="12">
        <f t="shared" si="11"/>
        <v>1134.8999999999999</v>
      </c>
      <c r="E89" s="12">
        <f>E91+E92+E94+E96+E93</f>
        <v>1218.5</v>
      </c>
      <c r="F89" s="12">
        <f t="shared" si="3"/>
        <v>93.139105457529737</v>
      </c>
      <c r="G89" s="12">
        <f t="shared" si="11"/>
        <v>639.5</v>
      </c>
      <c r="H89" s="12">
        <f t="shared" si="11"/>
        <v>592.1</v>
      </c>
      <c r="I89" s="13">
        <f t="shared" si="9"/>
        <v>92.587959343236903</v>
      </c>
      <c r="J89" s="76">
        <f t="shared" si="11"/>
        <v>1134.8999999999999</v>
      </c>
      <c r="K89" s="13"/>
    </row>
    <row r="90" spans="1:12" s="4" customFormat="1" ht="0.75" hidden="1" customHeight="1">
      <c r="A90" s="63" t="s">
        <v>97</v>
      </c>
      <c r="B90" s="47"/>
      <c r="C90" s="12">
        <f>C91+C92+C93+C96</f>
        <v>1179.5999999999999</v>
      </c>
      <c r="D90" s="12">
        <f>D91+D92+D93+D96</f>
        <v>1122.3999999999999</v>
      </c>
      <c r="E90" s="12"/>
      <c r="F90" s="12" t="e">
        <f t="shared" si="3"/>
        <v>#DIV/0!</v>
      </c>
      <c r="G90" s="12">
        <f>G92+G93+G95+G97+G94</f>
        <v>105.5</v>
      </c>
      <c r="H90" s="12">
        <f>H91+H92+H93+H96</f>
        <v>586</v>
      </c>
      <c r="I90" s="13">
        <f t="shared" si="9"/>
        <v>555.4502369668246</v>
      </c>
      <c r="J90" s="76">
        <f>J91+J92+J93+J96</f>
        <v>1122.3999999999999</v>
      </c>
      <c r="K90" s="13"/>
    </row>
    <row r="91" spans="1:12" s="4" customFormat="1" ht="20.100000000000001" customHeight="1">
      <c r="A91" s="62" t="s">
        <v>3</v>
      </c>
      <c r="B91" s="49">
        <v>341</v>
      </c>
      <c r="C91" s="13">
        <f>487.4+505</f>
        <v>992.4</v>
      </c>
      <c r="D91" s="13">
        <f>455.1+494.9</f>
        <v>950</v>
      </c>
      <c r="E91" s="13">
        <v>1019.7</v>
      </c>
      <c r="F91" s="12">
        <f t="shared" si="3"/>
        <v>93.164656271452387</v>
      </c>
      <c r="G91" s="13">
        <f>664.1-130.1</f>
        <v>534</v>
      </c>
      <c r="H91" s="13">
        <v>494.9</v>
      </c>
      <c r="I91" s="13">
        <f t="shared" si="9"/>
        <v>92.677902621722836</v>
      </c>
      <c r="J91" s="77">
        <v>950</v>
      </c>
      <c r="K91" s="13"/>
    </row>
    <row r="92" spans="1:12" s="4" customFormat="1" ht="20.100000000000001" customHeight="1">
      <c r="A92" s="62" t="s">
        <v>98</v>
      </c>
      <c r="B92" s="49">
        <v>342</v>
      </c>
      <c r="C92" s="13">
        <f>91.9+94</f>
        <v>185.9</v>
      </c>
      <c r="D92" s="13">
        <f>81.2+91.1</f>
        <v>172.3</v>
      </c>
      <c r="E92" s="13">
        <v>184.7</v>
      </c>
      <c r="F92" s="12">
        <f t="shared" si="3"/>
        <v>93.286410395235535</v>
      </c>
      <c r="G92" s="13">
        <f>139.5-40.5</f>
        <v>99</v>
      </c>
      <c r="H92" s="13">
        <v>91.1</v>
      </c>
      <c r="I92" s="13">
        <f t="shared" si="9"/>
        <v>92.020202020202007</v>
      </c>
      <c r="J92" s="77">
        <v>172.3</v>
      </c>
      <c r="K92" s="13"/>
    </row>
    <row r="93" spans="1:12" s="4" customFormat="1" ht="20.100000000000001" customHeight="1">
      <c r="A93" s="62" t="s">
        <v>100</v>
      </c>
      <c r="B93" s="49">
        <v>343</v>
      </c>
      <c r="C93" s="13"/>
      <c r="D93" s="13">
        <v>0</v>
      </c>
      <c r="E93" s="13"/>
      <c r="F93" s="12"/>
      <c r="G93" s="15"/>
      <c r="H93" s="15">
        <v>0</v>
      </c>
      <c r="I93" s="13"/>
      <c r="J93" s="77">
        <v>0</v>
      </c>
      <c r="K93" s="13"/>
    </row>
    <row r="94" spans="1:12" s="4" customFormat="1" ht="20.100000000000001" customHeight="1">
      <c r="A94" s="62" t="s">
        <v>126</v>
      </c>
      <c r="B94" s="48">
        <v>344</v>
      </c>
      <c r="C94" s="13">
        <f>5.6+5</f>
        <v>10.6</v>
      </c>
      <c r="D94" s="13">
        <f>6.4+6.1</f>
        <v>12.5</v>
      </c>
      <c r="E94" s="13">
        <v>14</v>
      </c>
      <c r="F94" s="12">
        <f t="shared" si="3"/>
        <v>89.285714285714292</v>
      </c>
      <c r="G94" s="13">
        <f>7.5-1</f>
        <v>6.5</v>
      </c>
      <c r="H94" s="13">
        <v>6.1</v>
      </c>
      <c r="I94" s="13">
        <f>H94/G94*100</f>
        <v>93.84615384615384</v>
      </c>
      <c r="J94" s="77">
        <v>12.5</v>
      </c>
      <c r="K94" s="13"/>
    </row>
    <row r="95" spans="1:12" s="4" customFormat="1" ht="20.100000000000001" customHeight="1">
      <c r="A95" s="62" t="s">
        <v>103</v>
      </c>
      <c r="B95" s="48">
        <v>345</v>
      </c>
      <c r="C95" s="13"/>
      <c r="D95" s="13"/>
      <c r="E95" s="13"/>
      <c r="F95" s="12"/>
      <c r="G95" s="13"/>
      <c r="H95" s="13"/>
      <c r="I95" s="13"/>
      <c r="J95" s="77"/>
      <c r="K95" s="13"/>
    </row>
    <row r="96" spans="1:12" s="4" customFormat="1" ht="20.100000000000001" customHeight="1">
      <c r="A96" s="63" t="s">
        <v>104</v>
      </c>
      <c r="B96" s="47">
        <v>350</v>
      </c>
      <c r="C96" s="12">
        <f t="shared" ref="C96:J96" si="12">C97+C99+C100</f>
        <v>1.3</v>
      </c>
      <c r="D96" s="12">
        <f t="shared" si="12"/>
        <v>0.1</v>
      </c>
      <c r="E96" s="12">
        <f t="shared" si="12"/>
        <v>0.1</v>
      </c>
      <c r="F96" s="12">
        <f t="shared" si="3"/>
        <v>100</v>
      </c>
      <c r="G96" s="12">
        <f t="shared" si="12"/>
        <v>0</v>
      </c>
      <c r="H96" s="12">
        <f>H97+H99+H100</f>
        <v>0</v>
      </c>
      <c r="I96" s="13"/>
      <c r="J96" s="76">
        <f t="shared" si="12"/>
        <v>0.1</v>
      </c>
      <c r="K96" s="13"/>
    </row>
    <row r="97" spans="1:11" s="4" customFormat="1" ht="16.5" customHeight="1">
      <c r="A97" s="60" t="s">
        <v>105</v>
      </c>
      <c r="B97" s="48">
        <v>351</v>
      </c>
      <c r="C97" s="13">
        <f>0.5+0.8</f>
        <v>1.3</v>
      </c>
      <c r="D97" s="13">
        <v>0.1</v>
      </c>
      <c r="E97" s="13">
        <v>0.1</v>
      </c>
      <c r="F97" s="12">
        <f t="shared" si="3"/>
        <v>100</v>
      </c>
      <c r="G97" s="13"/>
      <c r="H97" s="13"/>
      <c r="I97" s="13"/>
      <c r="J97" s="77">
        <v>0.1</v>
      </c>
      <c r="K97" s="13"/>
    </row>
    <row r="98" spans="1:11" s="4" customFormat="1" ht="12.75" hidden="1" customHeight="1">
      <c r="A98" s="60" t="s">
        <v>106</v>
      </c>
      <c r="B98" s="48">
        <v>352</v>
      </c>
      <c r="C98" s="13"/>
      <c r="D98" s="13"/>
      <c r="E98" s="13"/>
      <c r="F98" s="12" t="e">
        <f t="shared" si="3"/>
        <v>#DIV/0!</v>
      </c>
      <c r="G98" s="13"/>
      <c r="H98" s="13"/>
      <c r="I98" s="13" t="e">
        <f t="shared" si="9"/>
        <v>#DIV/0!</v>
      </c>
      <c r="J98" s="77"/>
      <c r="K98" s="13"/>
    </row>
    <row r="99" spans="1:11" s="4" customFormat="1" ht="20.25" hidden="1" customHeight="1">
      <c r="A99" s="62" t="s">
        <v>107</v>
      </c>
      <c r="B99" s="53">
        <v>353</v>
      </c>
      <c r="C99" s="13"/>
      <c r="D99" s="13"/>
      <c r="E99" s="13"/>
      <c r="F99" s="12" t="e">
        <f t="shared" si="3"/>
        <v>#DIV/0!</v>
      </c>
      <c r="G99" s="13"/>
      <c r="H99" s="13"/>
      <c r="I99" s="13" t="e">
        <f t="shared" si="9"/>
        <v>#DIV/0!</v>
      </c>
      <c r="J99" s="77"/>
      <c r="K99" s="13"/>
    </row>
    <row r="100" spans="1:11" s="4" customFormat="1" ht="19.5" hidden="1" customHeight="1">
      <c r="A100" s="60" t="s">
        <v>108</v>
      </c>
      <c r="B100" s="53">
        <v>354</v>
      </c>
      <c r="C100" s="13"/>
      <c r="D100" s="13"/>
      <c r="E100" s="13"/>
      <c r="F100" s="12" t="e">
        <f t="shared" si="3"/>
        <v>#DIV/0!</v>
      </c>
      <c r="G100" s="13"/>
      <c r="H100" s="13"/>
      <c r="I100" s="13" t="e">
        <f t="shared" si="9"/>
        <v>#DIV/0!</v>
      </c>
      <c r="J100" s="77"/>
      <c r="K100" s="13"/>
    </row>
    <row r="101" spans="1:11" s="4" customFormat="1" ht="20.100000000000001" customHeight="1">
      <c r="A101" s="60" t="s">
        <v>110</v>
      </c>
      <c r="B101" s="48">
        <v>360</v>
      </c>
      <c r="C101" s="13">
        <f>8.1+9.1</f>
        <v>17.2</v>
      </c>
      <c r="D101" s="13">
        <f>6.8+4.7</f>
        <v>11.5</v>
      </c>
      <c r="E101" s="13">
        <v>11.5</v>
      </c>
      <c r="F101" s="12">
        <f>D101/E101*100</f>
        <v>100</v>
      </c>
      <c r="G101" s="13">
        <v>4.7</v>
      </c>
      <c r="H101" s="13">
        <v>4.7</v>
      </c>
      <c r="I101" s="13">
        <f t="shared" si="9"/>
        <v>100</v>
      </c>
      <c r="J101" s="77">
        <v>11.5</v>
      </c>
      <c r="K101" s="13"/>
    </row>
    <row r="102" spans="1:11" s="4" customFormat="1" ht="20.100000000000001" customHeight="1">
      <c r="A102" s="103" t="s">
        <v>50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1"/>
    </row>
    <row r="103" spans="1:11" s="4" customFormat="1" ht="20.100000000000001" customHeight="1">
      <c r="A103" s="60" t="s">
        <v>51</v>
      </c>
      <c r="B103" s="25">
        <v>400</v>
      </c>
      <c r="C103" s="13">
        <f t="shared" ref="C103:J103" si="13">C53+C56+C55+C58+C93+C95</f>
        <v>3157.9</v>
      </c>
      <c r="D103" s="13">
        <f t="shared" si="13"/>
        <v>5753</v>
      </c>
      <c r="E103" s="13">
        <f t="shared" si="13"/>
        <v>5401.9000000000005</v>
      </c>
      <c r="F103" s="13">
        <f>D103/E103*100</f>
        <v>106.49956496788167</v>
      </c>
      <c r="G103" s="13">
        <f t="shared" si="13"/>
        <v>1021.3</v>
      </c>
      <c r="H103" s="13">
        <f t="shared" si="13"/>
        <v>1076.8000000000002</v>
      </c>
      <c r="I103" s="13">
        <f>H103/G103*100</f>
        <v>105.43425046509354</v>
      </c>
      <c r="J103" s="77">
        <f t="shared" si="13"/>
        <v>5753</v>
      </c>
      <c r="K103" s="13"/>
    </row>
    <row r="104" spans="1:11" s="4" customFormat="1" ht="20.100000000000001" customHeight="1">
      <c r="A104" s="60" t="s">
        <v>3</v>
      </c>
      <c r="B104" s="25">
        <v>410</v>
      </c>
      <c r="C104" s="13">
        <f t="shared" ref="C104:J105" si="14">C50+C91</f>
        <v>9255.6999999999989</v>
      </c>
      <c r="D104" s="13">
        <f t="shared" si="14"/>
        <v>9320.9</v>
      </c>
      <c r="E104" s="13">
        <f t="shared" si="14"/>
        <v>9739.7000000000007</v>
      </c>
      <c r="F104" s="13">
        <f t="shared" ref="F104:F110" si="15">D104/E104*100</f>
        <v>95.700072897522503</v>
      </c>
      <c r="G104" s="13">
        <f t="shared" si="14"/>
        <v>4834</v>
      </c>
      <c r="H104" s="13">
        <f t="shared" si="14"/>
        <v>4692.0999999999995</v>
      </c>
      <c r="I104" s="13">
        <f t="shared" ref="I104:I110" si="16">H104/G104*100</f>
        <v>97.064542821679751</v>
      </c>
      <c r="J104" s="77">
        <f t="shared" si="14"/>
        <v>9320.9</v>
      </c>
      <c r="K104" s="13"/>
    </row>
    <row r="105" spans="1:11" s="4" customFormat="1" ht="19.5" customHeight="1">
      <c r="A105" s="60" t="s">
        <v>98</v>
      </c>
      <c r="B105" s="25">
        <v>420</v>
      </c>
      <c r="C105" s="13">
        <f t="shared" si="14"/>
        <v>1861.1000000000001</v>
      </c>
      <c r="D105" s="13">
        <f t="shared" si="14"/>
        <v>1871.6</v>
      </c>
      <c r="E105" s="13">
        <f t="shared" si="14"/>
        <v>1991.9</v>
      </c>
      <c r="F105" s="13">
        <f t="shared" si="15"/>
        <v>93.960540187760415</v>
      </c>
      <c r="G105" s="13">
        <f t="shared" si="14"/>
        <v>981</v>
      </c>
      <c r="H105" s="13">
        <f t="shared" si="14"/>
        <v>927.9</v>
      </c>
      <c r="I105" s="13">
        <f t="shared" si="16"/>
        <v>94.587155963302749</v>
      </c>
      <c r="J105" s="77">
        <f t="shared" si="14"/>
        <v>1871.6</v>
      </c>
      <c r="K105" s="13"/>
    </row>
    <row r="106" spans="1:11" s="4" customFormat="1" ht="19.5" hidden="1" customHeight="1">
      <c r="A106" s="60" t="s">
        <v>99</v>
      </c>
      <c r="B106" s="25">
        <v>430</v>
      </c>
      <c r="C106" s="13">
        <f>C52</f>
        <v>0</v>
      </c>
      <c r="D106" s="13">
        <f>D52</f>
        <v>0</v>
      </c>
      <c r="E106" s="13">
        <f>E56+E59+E58+E61+E96+E98</f>
        <v>5337.9000000000005</v>
      </c>
      <c r="F106" s="13">
        <f t="shared" si="15"/>
        <v>0</v>
      </c>
      <c r="G106" s="13">
        <v>0</v>
      </c>
      <c r="H106" s="13">
        <f>H52</f>
        <v>0</v>
      </c>
      <c r="I106" s="13" t="e">
        <f t="shared" si="16"/>
        <v>#DIV/0!</v>
      </c>
      <c r="J106" s="77">
        <f>J52</f>
        <v>0</v>
      </c>
      <c r="K106" s="13"/>
    </row>
    <row r="107" spans="1:11" s="4" customFormat="1" ht="20.100000000000001" customHeight="1">
      <c r="A107" s="60" t="s">
        <v>17</v>
      </c>
      <c r="B107" s="25">
        <v>440</v>
      </c>
      <c r="C107" s="13">
        <f t="shared" ref="C107:J107" si="17">C66+C96+C57+C94</f>
        <v>673.1</v>
      </c>
      <c r="D107" s="13">
        <f t="shared" si="17"/>
        <v>541.20000000000005</v>
      </c>
      <c r="E107" s="13">
        <f t="shared" si="17"/>
        <v>567.29999999999995</v>
      </c>
      <c r="F107" s="13">
        <f t="shared" si="15"/>
        <v>95.399259650978337</v>
      </c>
      <c r="G107" s="13">
        <f t="shared" si="17"/>
        <v>227.5</v>
      </c>
      <c r="H107" s="13">
        <f>H66+H96+H57+H94</f>
        <v>221.4</v>
      </c>
      <c r="I107" s="13">
        <f t="shared" si="16"/>
        <v>97.318681318681328</v>
      </c>
      <c r="J107" s="77">
        <f t="shared" si="17"/>
        <v>541.19999999999993</v>
      </c>
      <c r="K107" s="13"/>
    </row>
    <row r="108" spans="1:11" s="4" customFormat="1" ht="20.100000000000001" customHeight="1">
      <c r="A108" s="60" t="s">
        <v>109</v>
      </c>
      <c r="B108" s="25">
        <v>450</v>
      </c>
      <c r="C108" s="13">
        <v>0</v>
      </c>
      <c r="D108" s="13">
        <v>0</v>
      </c>
      <c r="E108" s="13">
        <v>0</v>
      </c>
      <c r="F108" s="13"/>
      <c r="G108" s="13">
        <v>0</v>
      </c>
      <c r="H108" s="13">
        <v>0</v>
      </c>
      <c r="I108" s="13"/>
      <c r="J108" s="77">
        <v>0</v>
      </c>
      <c r="K108" s="13"/>
    </row>
    <row r="109" spans="1:11" s="84" customFormat="1" ht="21.6" customHeight="1">
      <c r="A109" s="63" t="s">
        <v>110</v>
      </c>
      <c r="B109" s="52">
        <v>460</v>
      </c>
      <c r="C109" s="12">
        <f>468.8</f>
        <v>468.8</v>
      </c>
      <c r="D109" s="12">
        <f>D88+D101</f>
        <v>734.4</v>
      </c>
      <c r="E109" s="12">
        <f>E88+E101</f>
        <v>734.4</v>
      </c>
      <c r="F109" s="13">
        <f t="shared" si="15"/>
        <v>100</v>
      </c>
      <c r="G109" s="12">
        <v>353.9</v>
      </c>
      <c r="H109" s="12">
        <f>H88+H101</f>
        <v>353.9</v>
      </c>
      <c r="I109" s="13">
        <f t="shared" si="16"/>
        <v>100</v>
      </c>
      <c r="J109" s="76">
        <f>J88+J101</f>
        <v>734.4</v>
      </c>
      <c r="K109" s="12"/>
    </row>
    <row r="110" spans="1:11" s="4" customFormat="1" ht="20.100000000000001" customHeight="1">
      <c r="A110" s="63" t="s">
        <v>129</v>
      </c>
      <c r="B110" s="52"/>
      <c r="C110" s="12">
        <f t="shared" ref="C110:J110" si="18">SUM(C103:C108)</f>
        <v>14947.8</v>
      </c>
      <c r="D110" s="12">
        <f t="shared" si="18"/>
        <v>17486.7</v>
      </c>
      <c r="E110" s="12">
        <f>E103+E104+E105+E107</f>
        <v>17700.800000000003</v>
      </c>
      <c r="F110" s="13">
        <f t="shared" si="15"/>
        <v>98.790450149145798</v>
      </c>
      <c r="G110" s="12">
        <f t="shared" si="18"/>
        <v>7063.8</v>
      </c>
      <c r="H110" s="12">
        <f t="shared" si="18"/>
        <v>6918.1999999999989</v>
      </c>
      <c r="I110" s="13">
        <f t="shared" si="16"/>
        <v>97.938786488858668</v>
      </c>
      <c r="J110" s="76">
        <f t="shared" si="18"/>
        <v>17486.7</v>
      </c>
      <c r="K110" s="12"/>
    </row>
    <row r="111" spans="1:11" s="4" customFormat="1" ht="20.100000000000001" customHeight="1">
      <c r="A111" s="103" t="s">
        <v>53</v>
      </c>
      <c r="B111" s="100"/>
      <c r="C111" s="100"/>
      <c r="D111" s="100"/>
      <c r="E111" s="100"/>
      <c r="F111" s="100"/>
      <c r="G111" s="100"/>
      <c r="H111" s="100"/>
      <c r="I111" s="100"/>
      <c r="J111" s="100"/>
      <c r="K111" s="101"/>
    </row>
    <row r="112" spans="1:11" s="4" customFormat="1" ht="20.100000000000001" customHeight="1">
      <c r="A112" s="60" t="s">
        <v>56</v>
      </c>
      <c r="B112" s="25">
        <v>500</v>
      </c>
      <c r="C112" s="22">
        <v>0</v>
      </c>
      <c r="D112" s="13">
        <f>SUM(D113)</f>
        <v>0</v>
      </c>
      <c r="E112" s="13"/>
      <c r="F112" s="13"/>
      <c r="G112" s="13">
        <v>0</v>
      </c>
      <c r="H112" s="13">
        <f>SUM(H113)</f>
        <v>0</v>
      </c>
      <c r="I112" s="13"/>
      <c r="J112" s="77">
        <f>SUM(J113)</f>
        <v>0</v>
      </c>
      <c r="K112" s="13"/>
    </row>
    <row r="113" spans="1:11" s="4" customFormat="1" ht="20.100000000000001" customHeight="1">
      <c r="A113" s="60" t="s">
        <v>52</v>
      </c>
      <c r="B113" s="53">
        <v>501</v>
      </c>
      <c r="C113" s="22">
        <v>0</v>
      </c>
      <c r="D113" s="22">
        <v>0</v>
      </c>
      <c r="E113" s="22"/>
      <c r="F113" s="13"/>
      <c r="G113" s="13">
        <v>0</v>
      </c>
      <c r="H113" s="22">
        <v>0</v>
      </c>
      <c r="I113" s="13"/>
      <c r="J113" s="78">
        <v>0</v>
      </c>
      <c r="K113" s="22"/>
    </row>
    <row r="114" spans="1:11" s="4" customFormat="1" ht="20.100000000000001" customHeight="1">
      <c r="A114" s="63" t="s">
        <v>48</v>
      </c>
      <c r="B114" s="54">
        <v>510</v>
      </c>
      <c r="C114" s="12">
        <f t="shared" ref="C114:J114" si="19">SUM(C115:C120)</f>
        <v>343.2</v>
      </c>
      <c r="D114" s="12">
        <f t="shared" si="19"/>
        <v>2822.9</v>
      </c>
      <c r="E114" s="12">
        <f t="shared" si="19"/>
        <v>2822.9</v>
      </c>
      <c r="F114" s="13">
        <f>D114/E114*100</f>
        <v>100</v>
      </c>
      <c r="G114" s="93">
        <f t="shared" si="19"/>
        <v>2782.1</v>
      </c>
      <c r="H114" s="12">
        <f t="shared" si="19"/>
        <v>2782.1</v>
      </c>
      <c r="I114" s="13">
        <f>H114/G114*100</f>
        <v>100</v>
      </c>
      <c r="J114" s="76">
        <f t="shared" si="19"/>
        <v>2822.9</v>
      </c>
      <c r="K114" s="12"/>
    </row>
    <row r="115" spans="1:11" s="4" customFormat="1" ht="20.100000000000001" customHeight="1">
      <c r="A115" s="60" t="s">
        <v>0</v>
      </c>
      <c r="B115" s="55">
        <v>511</v>
      </c>
      <c r="C115" s="13"/>
      <c r="D115" s="13"/>
      <c r="E115" s="13"/>
      <c r="F115" s="13"/>
      <c r="G115" s="13"/>
      <c r="H115" s="13"/>
      <c r="I115" s="13"/>
      <c r="J115" s="77"/>
      <c r="K115" s="13"/>
    </row>
    <row r="116" spans="1:11" s="4" customFormat="1" ht="20.100000000000001" customHeight="1">
      <c r="A116" s="60" t="s">
        <v>1</v>
      </c>
      <c r="B116" s="56">
        <v>512</v>
      </c>
      <c r="C116" s="13">
        <v>301</v>
      </c>
      <c r="D116" s="13">
        <f>31.4+2712.2</f>
        <v>2743.6</v>
      </c>
      <c r="E116" s="13">
        <v>2743.6</v>
      </c>
      <c r="F116" s="13">
        <f>D116/E116*100</f>
        <v>100</v>
      </c>
      <c r="G116" s="13">
        <v>2712.2</v>
      </c>
      <c r="H116" s="13">
        <v>2712.2</v>
      </c>
      <c r="I116" s="13">
        <f>H116/G116*100</f>
        <v>100</v>
      </c>
      <c r="J116" s="77">
        <f>31.4+2712.2</f>
        <v>2743.6</v>
      </c>
      <c r="K116" s="13"/>
    </row>
    <row r="117" spans="1:11" s="4" customFormat="1" ht="20.100000000000001" customHeight="1">
      <c r="A117" s="60" t="s">
        <v>18</v>
      </c>
      <c r="B117" s="55">
        <v>513</v>
      </c>
      <c r="C117" s="13">
        <f>4.8+32.7</f>
        <v>37.5</v>
      </c>
      <c r="D117" s="13">
        <f>5.4+69.9</f>
        <v>75.300000000000011</v>
      </c>
      <c r="E117" s="13">
        <v>75.3</v>
      </c>
      <c r="F117" s="13">
        <f>D117/E117*100</f>
        <v>100.00000000000003</v>
      </c>
      <c r="G117" s="13">
        <v>69.900000000000006</v>
      </c>
      <c r="H117" s="13">
        <v>69.900000000000006</v>
      </c>
      <c r="I117" s="13">
        <f>H117/G117*100</f>
        <v>100</v>
      </c>
      <c r="J117" s="77">
        <f>5.4+69.9</f>
        <v>75.300000000000011</v>
      </c>
      <c r="K117" s="13"/>
    </row>
    <row r="118" spans="1:11" s="4" customFormat="1" ht="20.100000000000001" customHeight="1">
      <c r="A118" s="60" t="s">
        <v>2</v>
      </c>
      <c r="B118" s="56">
        <v>514</v>
      </c>
      <c r="C118" s="13">
        <v>3.7</v>
      </c>
      <c r="D118" s="13">
        <f>4</f>
        <v>4</v>
      </c>
      <c r="E118" s="13">
        <v>4</v>
      </c>
      <c r="F118" s="13">
        <f>D118/E118*100</f>
        <v>100</v>
      </c>
      <c r="G118" s="13"/>
      <c r="H118" s="13"/>
      <c r="I118" s="13"/>
      <c r="J118" s="77">
        <v>4</v>
      </c>
      <c r="K118" s="13"/>
    </row>
    <row r="119" spans="1:11" s="4" customFormat="1" ht="32.25" customHeight="1">
      <c r="A119" s="60" t="s">
        <v>19</v>
      </c>
      <c r="B119" s="55">
        <v>515</v>
      </c>
      <c r="C119" s="13">
        <v>1</v>
      </c>
      <c r="D119" s="13"/>
      <c r="E119" s="13"/>
      <c r="F119" s="13"/>
      <c r="G119" s="13"/>
      <c r="H119" s="13"/>
      <c r="I119" s="13"/>
      <c r="J119" s="77"/>
      <c r="K119" s="13"/>
    </row>
    <row r="120" spans="1:11" s="4" customFormat="1" ht="20.100000000000001" customHeight="1">
      <c r="A120" s="60" t="s">
        <v>33</v>
      </c>
      <c r="B120" s="57">
        <v>516</v>
      </c>
      <c r="C120" s="13"/>
      <c r="D120" s="13"/>
      <c r="E120" s="13"/>
      <c r="F120" s="13"/>
      <c r="G120" s="13"/>
      <c r="H120" s="13"/>
      <c r="I120" s="13"/>
      <c r="J120" s="77"/>
      <c r="K120" s="13"/>
    </row>
    <row r="121" spans="1:11" s="4" customFormat="1" ht="20.100000000000001" customHeight="1">
      <c r="A121" s="103" t="s">
        <v>55</v>
      </c>
      <c r="B121" s="100"/>
      <c r="C121" s="100"/>
      <c r="D121" s="100"/>
      <c r="E121" s="100"/>
      <c r="F121" s="100"/>
      <c r="G121" s="100"/>
      <c r="H121" s="100"/>
      <c r="I121" s="100"/>
      <c r="J121" s="100"/>
      <c r="K121" s="101"/>
    </row>
    <row r="122" spans="1:11" s="4" customFormat="1" ht="20.100000000000001" customHeight="1">
      <c r="A122" s="60" t="s">
        <v>57</v>
      </c>
      <c r="B122" s="58">
        <v>600</v>
      </c>
      <c r="C122" s="22">
        <f>SUM(C123:C126)</f>
        <v>0</v>
      </c>
      <c r="D122" s="13">
        <f>SUM(D123:D126)</f>
        <v>0</v>
      </c>
      <c r="E122" s="13"/>
      <c r="F122" s="13"/>
      <c r="G122" s="16">
        <f>SUM(G123:G126)</f>
        <v>0</v>
      </c>
      <c r="H122" s="13">
        <f>SUM(H123:H126)</f>
        <v>0</v>
      </c>
      <c r="I122" s="16"/>
      <c r="J122" s="77">
        <f>SUM(J123:J126)</f>
        <v>0</v>
      </c>
      <c r="K122" s="13">
        <f>SUM(K123:K126)</f>
        <v>0</v>
      </c>
    </row>
    <row r="123" spans="1:11" s="4" customFormat="1" ht="20.100000000000001" customHeight="1">
      <c r="A123" s="62" t="s">
        <v>58</v>
      </c>
      <c r="B123" s="57">
        <v>601</v>
      </c>
      <c r="C123" s="22"/>
      <c r="D123" s="13"/>
      <c r="E123" s="13"/>
      <c r="F123" s="13"/>
      <c r="G123" s="16"/>
      <c r="H123" s="13"/>
      <c r="I123" s="16"/>
      <c r="J123" s="77"/>
      <c r="K123" s="13"/>
    </row>
    <row r="124" spans="1:11" s="4" customFormat="1" ht="20.100000000000001" customHeight="1">
      <c r="A124" s="62" t="s">
        <v>59</v>
      </c>
      <c r="B124" s="57">
        <v>602</v>
      </c>
      <c r="C124" s="22"/>
      <c r="D124" s="13"/>
      <c r="E124" s="13"/>
      <c r="F124" s="13"/>
      <c r="G124" s="16"/>
      <c r="H124" s="13"/>
      <c r="I124" s="16"/>
      <c r="J124" s="77"/>
      <c r="K124" s="13"/>
    </row>
    <row r="125" spans="1:11" s="4" customFormat="1" ht="20.100000000000001" customHeight="1">
      <c r="A125" s="62" t="s">
        <v>60</v>
      </c>
      <c r="B125" s="57">
        <v>603</v>
      </c>
      <c r="C125" s="22"/>
      <c r="D125" s="13"/>
      <c r="E125" s="13"/>
      <c r="F125" s="13"/>
      <c r="G125" s="16"/>
      <c r="H125" s="13"/>
      <c r="I125" s="16"/>
      <c r="J125" s="77"/>
      <c r="K125" s="13"/>
    </row>
    <row r="126" spans="1:11" s="4" customFormat="1" ht="20.100000000000001" customHeight="1">
      <c r="A126" s="60" t="s">
        <v>61</v>
      </c>
      <c r="B126" s="58">
        <v>610</v>
      </c>
      <c r="C126" s="22"/>
      <c r="D126" s="13"/>
      <c r="E126" s="13"/>
      <c r="F126" s="13"/>
      <c r="G126" s="16"/>
      <c r="H126" s="13"/>
      <c r="I126" s="16"/>
      <c r="J126" s="77"/>
      <c r="K126" s="13"/>
    </row>
    <row r="127" spans="1:11" s="4" customFormat="1" ht="20.100000000000001" customHeight="1">
      <c r="A127" s="60" t="s">
        <v>62</v>
      </c>
      <c r="B127" s="58">
        <v>620</v>
      </c>
      <c r="C127" s="22">
        <f>SUM(C128:C131)</f>
        <v>0</v>
      </c>
      <c r="D127" s="13">
        <f>SUM(D128:D131)</f>
        <v>0</v>
      </c>
      <c r="E127" s="13"/>
      <c r="F127" s="13"/>
      <c r="G127" s="16">
        <f>SUM(G128:G131)</f>
        <v>0</v>
      </c>
      <c r="H127" s="13">
        <f>SUM(H128:H131)</f>
        <v>0</v>
      </c>
      <c r="I127" s="16"/>
      <c r="J127" s="77">
        <f>SUM(J128:J131)</f>
        <v>0</v>
      </c>
      <c r="K127" s="13">
        <f>SUM(K128:K131)</f>
        <v>0</v>
      </c>
    </row>
    <row r="128" spans="1:11" s="4" customFormat="1" ht="20.100000000000001" customHeight="1">
      <c r="A128" s="62" t="s">
        <v>58</v>
      </c>
      <c r="B128" s="57">
        <v>621</v>
      </c>
      <c r="C128" s="22"/>
      <c r="D128" s="13"/>
      <c r="E128" s="13"/>
      <c r="F128" s="13"/>
      <c r="G128" s="16"/>
      <c r="H128" s="13"/>
      <c r="I128" s="16"/>
      <c r="J128" s="77"/>
      <c r="K128" s="13"/>
    </row>
    <row r="129" spans="1:11" s="4" customFormat="1" ht="20.100000000000001" customHeight="1">
      <c r="A129" s="62" t="s">
        <v>59</v>
      </c>
      <c r="B129" s="57">
        <v>622</v>
      </c>
      <c r="C129" s="22"/>
      <c r="D129" s="13"/>
      <c r="E129" s="13"/>
      <c r="F129" s="13"/>
      <c r="G129" s="16"/>
      <c r="H129" s="13"/>
      <c r="I129" s="16"/>
      <c r="J129" s="77"/>
      <c r="K129" s="13"/>
    </row>
    <row r="130" spans="1:11" s="4" customFormat="1" ht="20.100000000000001" customHeight="1">
      <c r="A130" s="62" t="s">
        <v>60</v>
      </c>
      <c r="B130" s="57">
        <v>623</v>
      </c>
      <c r="C130" s="22"/>
      <c r="D130" s="13"/>
      <c r="E130" s="13"/>
      <c r="F130" s="13"/>
      <c r="G130" s="16"/>
      <c r="H130" s="13"/>
      <c r="I130" s="16"/>
      <c r="J130" s="77"/>
      <c r="K130" s="13"/>
    </row>
    <row r="131" spans="1:11" s="4" customFormat="1" ht="20.100000000000001" customHeight="1">
      <c r="A131" s="60" t="s">
        <v>35</v>
      </c>
      <c r="B131" s="58">
        <v>630</v>
      </c>
      <c r="C131" s="22"/>
      <c r="D131" s="13"/>
      <c r="E131" s="13"/>
      <c r="F131" s="13"/>
      <c r="G131" s="16"/>
      <c r="H131" s="13"/>
      <c r="I131" s="16"/>
      <c r="J131" s="77"/>
      <c r="K131" s="13"/>
    </row>
    <row r="132" spans="1:11" ht="20.100000000000001" customHeight="1">
      <c r="A132" s="63" t="s">
        <v>14</v>
      </c>
      <c r="B132" s="47">
        <v>700</v>
      </c>
      <c r="C132" s="12">
        <f t="shared" ref="C132:J132" si="20">C36</f>
        <v>14748.5</v>
      </c>
      <c r="D132" s="12">
        <f t="shared" si="20"/>
        <v>17030.8</v>
      </c>
      <c r="E132" s="12">
        <f t="shared" si="20"/>
        <v>17700.8</v>
      </c>
      <c r="F132" s="13"/>
      <c r="G132" s="12">
        <f t="shared" si="20"/>
        <v>7063.8</v>
      </c>
      <c r="H132" s="12">
        <f t="shared" si="20"/>
        <v>6714.2</v>
      </c>
      <c r="I132" s="12">
        <f>H132/G132*100</f>
        <v>95.050822503468382</v>
      </c>
      <c r="J132" s="76">
        <f t="shared" si="20"/>
        <v>17030.800000000003</v>
      </c>
      <c r="K132" s="12"/>
    </row>
    <row r="133" spans="1:11" ht="20.100000000000001" customHeight="1">
      <c r="A133" s="63" t="s">
        <v>22</v>
      </c>
      <c r="B133" s="47">
        <v>850</v>
      </c>
      <c r="C133" s="36">
        <f>C110</f>
        <v>14947.8</v>
      </c>
      <c r="D133" s="36">
        <f>D48</f>
        <v>17486.699999999997</v>
      </c>
      <c r="E133" s="36">
        <f>E48</f>
        <v>17700.8</v>
      </c>
      <c r="F133" s="13"/>
      <c r="G133" s="36">
        <f>G48</f>
        <v>7063.8</v>
      </c>
      <c r="H133" s="36">
        <f>H48</f>
        <v>6918.2</v>
      </c>
      <c r="I133" s="12">
        <f>H133/G133*100</f>
        <v>97.938786488858682</v>
      </c>
      <c r="J133" s="79">
        <f>J48</f>
        <v>17486.699999999997</v>
      </c>
      <c r="K133" s="12"/>
    </row>
    <row r="134" spans="1:11" ht="20.100000000000001" customHeight="1">
      <c r="A134" s="60" t="s">
        <v>54</v>
      </c>
      <c r="B134" s="48">
        <v>850</v>
      </c>
      <c r="C134" s="13">
        <f t="shared" ref="C134:J134" si="21">C132-C133</f>
        <v>-199.29999999999927</v>
      </c>
      <c r="D134" s="13">
        <f t="shared" si="21"/>
        <v>-455.89999999999782</v>
      </c>
      <c r="E134" s="13">
        <f t="shared" si="21"/>
        <v>0</v>
      </c>
      <c r="F134" s="13"/>
      <c r="G134" s="13">
        <f t="shared" si="21"/>
        <v>0</v>
      </c>
      <c r="H134" s="13">
        <f t="shared" si="21"/>
        <v>-204</v>
      </c>
      <c r="I134" s="12"/>
      <c r="J134" s="77">
        <f t="shared" si="21"/>
        <v>-455.89999999999418</v>
      </c>
      <c r="K134" s="13"/>
    </row>
    <row r="135" spans="1:11" ht="20.100000000000001" customHeight="1">
      <c r="A135" s="63" t="s">
        <v>112</v>
      </c>
      <c r="B135" s="48"/>
      <c r="C135" s="22"/>
      <c r="D135" s="22"/>
      <c r="E135" s="22"/>
      <c r="F135" s="13"/>
      <c r="G135" s="16"/>
      <c r="H135" s="22"/>
      <c r="I135" s="16"/>
      <c r="J135" s="78"/>
      <c r="K135" s="13"/>
    </row>
    <row r="136" spans="1:11" ht="20.100000000000001" customHeight="1">
      <c r="A136" s="60" t="s">
        <v>113</v>
      </c>
      <c r="B136" s="48">
        <v>900</v>
      </c>
      <c r="C136" s="16">
        <v>140.75</v>
      </c>
      <c r="D136" s="16">
        <v>140.75</v>
      </c>
      <c r="E136" s="16"/>
      <c r="F136" s="13"/>
      <c r="G136" s="16">
        <v>140.75</v>
      </c>
      <c r="H136" s="16">
        <v>140.75</v>
      </c>
      <c r="I136" s="16"/>
      <c r="J136" s="80">
        <v>140.75</v>
      </c>
      <c r="K136" s="13"/>
    </row>
    <row r="137" spans="1:11" ht="20.100000000000001" customHeight="1">
      <c r="A137" s="60" t="s">
        <v>114</v>
      </c>
      <c r="B137" s="48">
        <v>910</v>
      </c>
      <c r="C137" s="22"/>
      <c r="D137" s="13"/>
      <c r="E137" s="13"/>
      <c r="F137" s="13"/>
      <c r="G137" s="16"/>
      <c r="H137" s="13"/>
      <c r="I137" s="16"/>
      <c r="J137" s="77"/>
      <c r="K137" s="13"/>
    </row>
    <row r="138" spans="1:11" ht="20.100000000000001" customHeight="1">
      <c r="A138" s="60" t="s">
        <v>115</v>
      </c>
      <c r="B138" s="48">
        <v>920</v>
      </c>
      <c r="C138" s="22"/>
      <c r="D138" s="13"/>
      <c r="E138" s="13"/>
      <c r="F138" s="13"/>
      <c r="G138" s="16"/>
      <c r="H138" s="13"/>
      <c r="I138" s="16"/>
      <c r="J138" s="77"/>
      <c r="K138" s="13"/>
    </row>
    <row r="139" spans="1:11" ht="20.100000000000001" customHeight="1">
      <c r="A139" s="60" t="s">
        <v>116</v>
      </c>
      <c r="B139" s="48">
        <v>930</v>
      </c>
      <c r="C139" s="33"/>
      <c r="D139" s="12"/>
      <c r="E139" s="12"/>
      <c r="F139" s="12"/>
      <c r="G139" s="40"/>
      <c r="H139" s="12"/>
      <c r="I139" s="40"/>
      <c r="J139" s="76"/>
      <c r="K139" s="12"/>
    </row>
    <row r="140" spans="1:11" ht="20.100000000000001" customHeight="1">
      <c r="A140" s="60" t="s">
        <v>117</v>
      </c>
      <c r="B140" s="48">
        <v>940</v>
      </c>
      <c r="C140" s="33"/>
      <c r="D140" s="12"/>
      <c r="E140" s="12"/>
      <c r="F140" s="12"/>
      <c r="G140" s="40"/>
      <c r="H140" s="12"/>
      <c r="I140" s="40"/>
      <c r="J140" s="76"/>
      <c r="K140" s="12"/>
    </row>
    <row r="141" spans="1:11" ht="19.5" customHeight="1">
      <c r="A141" s="60" t="s">
        <v>118</v>
      </c>
      <c r="B141" s="48">
        <v>950</v>
      </c>
      <c r="C141" s="22"/>
      <c r="D141" s="13"/>
      <c r="E141" s="13"/>
      <c r="F141" s="13"/>
      <c r="G141" s="16"/>
      <c r="H141" s="13"/>
      <c r="I141" s="16"/>
      <c r="J141" s="77"/>
      <c r="K141" s="13"/>
    </row>
    <row r="142" spans="1:11" ht="19.5" customHeight="1">
      <c r="A142" s="24"/>
      <c r="B142" s="59"/>
      <c r="C142" s="17"/>
      <c r="D142" s="17"/>
      <c r="E142" s="17"/>
      <c r="F142" s="17"/>
      <c r="G142" s="17"/>
      <c r="H142" s="17"/>
      <c r="I142" s="17"/>
      <c r="J142" s="81"/>
      <c r="K142" s="17"/>
    </row>
    <row r="143" spans="1:11" ht="16.5" customHeight="1">
      <c r="A143" s="24"/>
      <c r="C143" s="34"/>
      <c r="D143" s="38"/>
      <c r="E143" s="38"/>
      <c r="F143" s="38"/>
      <c r="G143" s="38"/>
      <c r="H143" s="38"/>
      <c r="I143" s="38"/>
      <c r="J143" s="82"/>
      <c r="K143" s="38"/>
    </row>
    <row r="144" spans="1:11" ht="20.100000000000001" customHeight="1">
      <c r="A144" s="65" t="s">
        <v>153</v>
      </c>
      <c r="B144" s="59"/>
      <c r="C144" s="111" t="s">
        <v>153</v>
      </c>
      <c r="D144" s="111"/>
      <c r="E144" s="69"/>
      <c r="F144" s="69"/>
      <c r="G144" s="41"/>
      <c r="H144" s="41"/>
      <c r="I144" s="41"/>
      <c r="J144" s="112" t="s">
        <v>84</v>
      </c>
      <c r="K144" s="112"/>
    </row>
    <row r="145" spans="1:11" s="4" customFormat="1" ht="20.100000000000001" customHeight="1">
      <c r="A145" s="35" t="s">
        <v>153</v>
      </c>
      <c r="B145" s="1"/>
      <c r="C145" s="104" t="s">
        <v>153</v>
      </c>
      <c r="D145" s="104"/>
      <c r="E145" s="35"/>
      <c r="F145" s="35"/>
      <c r="G145" s="42"/>
      <c r="H145" s="42"/>
      <c r="I145" s="42"/>
      <c r="J145" s="118"/>
      <c r="K145" s="118"/>
    </row>
    <row r="146" spans="1:11" s="4" customFormat="1" ht="20.100000000000001" customHeight="1">
      <c r="A146" s="35"/>
      <c r="B146" s="1"/>
      <c r="C146" s="35"/>
      <c r="D146" s="43"/>
      <c r="E146" s="43"/>
      <c r="F146" s="43"/>
      <c r="G146" s="42"/>
      <c r="H146" s="43"/>
      <c r="I146" s="42"/>
      <c r="J146" s="83"/>
      <c r="K146" s="43"/>
    </row>
    <row r="147" spans="1:11" s="4" customFormat="1" ht="20.100000000000001" customHeight="1">
      <c r="A147" s="35"/>
      <c r="B147" s="1"/>
      <c r="C147" s="35"/>
      <c r="D147" s="43"/>
      <c r="E147" s="43"/>
      <c r="F147" s="43"/>
      <c r="G147" s="42"/>
      <c r="H147" s="43"/>
      <c r="I147" s="42"/>
      <c r="J147" s="83"/>
      <c r="K147" s="43"/>
    </row>
    <row r="148" spans="1:11" ht="20.100000000000001" customHeight="1">
      <c r="A148" s="119"/>
      <c r="B148" s="119"/>
      <c r="C148" s="119"/>
      <c r="D148" s="119"/>
      <c r="E148" s="119"/>
      <c r="F148" s="119"/>
      <c r="G148" s="119"/>
      <c r="H148" s="119"/>
      <c r="I148" s="119"/>
      <c r="J148" s="119"/>
      <c r="K148" s="38"/>
    </row>
    <row r="149" spans="1:11">
      <c r="A149" s="24"/>
      <c r="C149" s="34"/>
      <c r="D149" s="38"/>
      <c r="E149" s="38"/>
      <c r="F149" s="38"/>
      <c r="G149" s="38"/>
      <c r="H149" s="38"/>
      <c r="I149" s="38"/>
      <c r="J149" s="82"/>
      <c r="K149" s="38"/>
    </row>
    <row r="150" spans="1:11">
      <c r="A150" s="24"/>
      <c r="C150" s="34"/>
      <c r="D150" s="38"/>
      <c r="E150" s="38"/>
      <c r="F150" s="38"/>
      <c r="G150" s="38"/>
      <c r="H150" s="38"/>
      <c r="I150" s="38"/>
      <c r="J150" s="82"/>
      <c r="K150" s="38"/>
    </row>
    <row r="151" spans="1:11">
      <c r="A151" s="24"/>
      <c r="C151" s="34"/>
      <c r="D151" s="38"/>
      <c r="E151" s="38"/>
      <c r="F151" s="38"/>
      <c r="G151" s="38"/>
      <c r="H151" s="38"/>
      <c r="I151" s="38"/>
      <c r="J151" s="82"/>
      <c r="K151" s="38"/>
    </row>
    <row r="152" spans="1:11">
      <c r="A152" s="24"/>
      <c r="C152" s="34"/>
      <c r="D152" s="38"/>
      <c r="E152" s="38"/>
      <c r="F152" s="38"/>
      <c r="G152" s="38"/>
      <c r="H152" s="38"/>
      <c r="I152" s="38"/>
      <c r="J152" s="82"/>
      <c r="K152" s="38"/>
    </row>
    <row r="153" spans="1:11">
      <c r="A153" s="24"/>
      <c r="C153" s="34"/>
      <c r="D153" s="38"/>
      <c r="E153" s="38"/>
      <c r="F153" s="38"/>
      <c r="G153" s="38"/>
      <c r="H153" s="38"/>
      <c r="I153" s="38"/>
      <c r="J153" s="82"/>
      <c r="K153" s="38"/>
    </row>
    <row r="154" spans="1:11">
      <c r="A154" s="24"/>
      <c r="C154" s="34"/>
      <c r="D154" s="38"/>
      <c r="E154" s="38"/>
      <c r="F154" s="38"/>
      <c r="G154" s="38"/>
      <c r="H154" s="38"/>
      <c r="I154" s="38"/>
      <c r="J154" s="82"/>
      <c r="K154" s="38"/>
    </row>
    <row r="155" spans="1:11">
      <c r="A155" s="24"/>
      <c r="C155" s="34"/>
      <c r="D155" s="38"/>
      <c r="E155" s="38"/>
      <c r="F155" s="38"/>
      <c r="G155" s="38"/>
      <c r="H155" s="38"/>
      <c r="I155" s="38"/>
      <c r="J155" s="82"/>
      <c r="K155" s="38"/>
    </row>
    <row r="156" spans="1:11">
      <c r="A156" s="24"/>
      <c r="C156" s="34"/>
      <c r="D156" s="38"/>
      <c r="E156" s="38"/>
      <c r="F156" s="38"/>
      <c r="G156" s="38"/>
      <c r="H156" s="38"/>
      <c r="I156" s="38"/>
      <c r="J156" s="82"/>
      <c r="K156" s="38"/>
    </row>
    <row r="157" spans="1:11">
      <c r="A157" s="24"/>
      <c r="C157" s="34"/>
      <c r="D157" s="38"/>
      <c r="E157" s="38"/>
      <c r="F157" s="38"/>
      <c r="G157" s="38"/>
      <c r="H157" s="38"/>
      <c r="I157" s="38"/>
      <c r="J157" s="82"/>
      <c r="K157" s="38"/>
    </row>
    <row r="158" spans="1:11">
      <c r="A158" s="24"/>
      <c r="C158" s="34"/>
      <c r="D158" s="38"/>
      <c r="E158" s="38"/>
      <c r="F158" s="38"/>
      <c r="G158" s="38"/>
      <c r="H158" s="38"/>
      <c r="I158" s="38"/>
      <c r="J158" s="82"/>
      <c r="K158" s="38"/>
    </row>
    <row r="159" spans="1:11">
      <c r="A159" s="24"/>
      <c r="C159" s="34"/>
      <c r="D159" s="38"/>
      <c r="E159" s="38"/>
      <c r="F159" s="38"/>
      <c r="G159" s="38"/>
      <c r="H159" s="38"/>
      <c r="I159" s="38"/>
      <c r="J159" s="82"/>
      <c r="K159" s="38"/>
    </row>
    <row r="160" spans="1:11">
      <c r="A160" s="24"/>
      <c r="C160" s="34"/>
      <c r="D160" s="38"/>
      <c r="E160" s="38"/>
      <c r="F160" s="38"/>
      <c r="G160" s="38"/>
      <c r="H160" s="38"/>
      <c r="I160" s="38"/>
      <c r="J160" s="82"/>
      <c r="K160" s="38"/>
    </row>
    <row r="161" spans="1:11">
      <c r="A161" s="24"/>
      <c r="C161" s="34"/>
      <c r="D161" s="38"/>
      <c r="E161" s="38"/>
      <c r="F161" s="38"/>
      <c r="G161" s="38"/>
      <c r="H161" s="38"/>
      <c r="I161" s="38"/>
      <c r="J161" s="82"/>
      <c r="K161" s="38"/>
    </row>
    <row r="162" spans="1:11">
      <c r="A162" s="24"/>
      <c r="C162" s="34"/>
      <c r="D162" s="38"/>
      <c r="E162" s="38"/>
      <c r="F162" s="38"/>
      <c r="G162" s="38"/>
      <c r="H162" s="38"/>
      <c r="I162" s="38"/>
      <c r="J162" s="82"/>
      <c r="K162" s="38"/>
    </row>
    <row r="163" spans="1:11">
      <c r="A163" s="24"/>
      <c r="C163" s="34"/>
      <c r="D163" s="38"/>
      <c r="E163" s="38"/>
      <c r="F163" s="38"/>
      <c r="G163" s="38"/>
      <c r="H163" s="38"/>
      <c r="I163" s="38"/>
      <c r="J163" s="82"/>
      <c r="K163" s="38"/>
    </row>
    <row r="164" spans="1:11">
      <c r="A164" s="24"/>
      <c r="C164" s="34"/>
      <c r="D164" s="38"/>
      <c r="E164" s="38"/>
      <c r="F164" s="38"/>
      <c r="G164" s="38"/>
      <c r="H164" s="38"/>
      <c r="I164" s="38"/>
      <c r="J164" s="82"/>
      <c r="K164" s="38"/>
    </row>
    <row r="165" spans="1:11">
      <c r="A165" s="24"/>
      <c r="C165" s="34"/>
      <c r="D165" s="38"/>
      <c r="E165" s="38"/>
      <c r="F165" s="38"/>
      <c r="G165" s="38"/>
      <c r="H165" s="38"/>
      <c r="I165" s="38"/>
      <c r="J165" s="82"/>
      <c r="K165" s="38"/>
    </row>
    <row r="166" spans="1:11">
      <c r="A166" s="24"/>
      <c r="C166" s="34"/>
      <c r="D166" s="38"/>
      <c r="E166" s="38"/>
      <c r="F166" s="38"/>
      <c r="G166" s="38"/>
      <c r="H166" s="38"/>
      <c r="I166" s="38"/>
      <c r="J166" s="82"/>
      <c r="K166" s="38"/>
    </row>
    <row r="167" spans="1:11">
      <c r="A167" s="24"/>
      <c r="C167" s="34"/>
      <c r="D167" s="38"/>
      <c r="E167" s="38"/>
      <c r="F167" s="38"/>
      <c r="G167" s="38"/>
      <c r="H167" s="38"/>
      <c r="I167" s="38"/>
      <c r="J167" s="82"/>
      <c r="K167" s="38"/>
    </row>
    <row r="168" spans="1:11">
      <c r="A168" s="24"/>
      <c r="C168" s="34"/>
      <c r="D168" s="38"/>
      <c r="E168" s="38"/>
      <c r="F168" s="38"/>
      <c r="G168" s="38"/>
      <c r="H168" s="38"/>
      <c r="I168" s="38"/>
      <c r="J168" s="82"/>
      <c r="K168" s="38"/>
    </row>
    <row r="169" spans="1:11">
      <c r="A169" s="24"/>
      <c r="C169" s="34"/>
      <c r="D169" s="38"/>
      <c r="E169" s="38"/>
      <c r="F169" s="38"/>
      <c r="G169" s="38"/>
      <c r="H169" s="38"/>
      <c r="I169" s="38"/>
      <c r="J169" s="82"/>
      <c r="K169" s="38"/>
    </row>
    <row r="170" spans="1:11">
      <c r="A170" s="24"/>
      <c r="C170" s="34"/>
      <c r="D170" s="38"/>
      <c r="E170" s="38"/>
      <c r="F170" s="38"/>
      <c r="G170" s="38"/>
      <c r="H170" s="38"/>
      <c r="I170" s="38"/>
      <c r="J170" s="82"/>
      <c r="K170" s="38"/>
    </row>
    <row r="171" spans="1:11">
      <c r="A171" s="24"/>
      <c r="C171" s="34"/>
      <c r="D171" s="38"/>
      <c r="E171" s="38"/>
      <c r="F171" s="38"/>
      <c r="G171" s="38"/>
      <c r="H171" s="38"/>
      <c r="I171" s="38"/>
      <c r="J171" s="82"/>
      <c r="K171" s="38"/>
    </row>
    <row r="172" spans="1:11">
      <c r="A172" s="24"/>
      <c r="C172" s="34"/>
      <c r="D172" s="38"/>
      <c r="E172" s="38"/>
      <c r="F172" s="38"/>
      <c r="G172" s="38"/>
      <c r="H172" s="38"/>
      <c r="I172" s="38"/>
      <c r="J172" s="82"/>
      <c r="K172" s="38"/>
    </row>
    <row r="173" spans="1:11">
      <c r="A173" s="24"/>
      <c r="C173" s="34"/>
      <c r="D173" s="38"/>
      <c r="E173" s="38"/>
      <c r="F173" s="38"/>
      <c r="G173" s="38"/>
      <c r="H173" s="38"/>
      <c r="I173" s="38"/>
      <c r="J173" s="82"/>
      <c r="K173" s="38"/>
    </row>
    <row r="174" spans="1:11">
      <c r="A174" s="24"/>
      <c r="C174" s="34"/>
      <c r="D174" s="38"/>
      <c r="E174" s="38"/>
      <c r="F174" s="38"/>
      <c r="G174" s="38"/>
      <c r="H174" s="38"/>
      <c r="I174" s="38"/>
      <c r="J174" s="82"/>
      <c r="K174" s="38"/>
    </row>
    <row r="175" spans="1:11">
      <c r="A175" s="24"/>
      <c r="C175" s="34"/>
      <c r="D175" s="38"/>
      <c r="E175" s="38"/>
      <c r="F175" s="38"/>
      <c r="G175" s="38"/>
      <c r="H175" s="38"/>
      <c r="I175" s="38"/>
      <c r="J175" s="82"/>
      <c r="K175" s="38"/>
    </row>
    <row r="176" spans="1:11">
      <c r="A176" s="24"/>
      <c r="C176" s="34"/>
      <c r="D176" s="38"/>
      <c r="E176" s="38"/>
      <c r="F176" s="38"/>
      <c r="G176" s="38"/>
      <c r="H176" s="38"/>
      <c r="I176" s="38"/>
      <c r="J176" s="82"/>
      <c r="K176" s="38"/>
    </row>
    <row r="177" spans="1:11">
      <c r="A177" s="24"/>
      <c r="C177" s="34"/>
      <c r="D177" s="38"/>
      <c r="E177" s="38"/>
      <c r="F177" s="38"/>
      <c r="G177" s="38"/>
      <c r="H177" s="38"/>
      <c r="I177" s="38"/>
      <c r="J177" s="82"/>
      <c r="K177" s="38"/>
    </row>
    <row r="178" spans="1:11">
      <c r="A178" s="24"/>
      <c r="C178" s="34"/>
      <c r="D178" s="38"/>
      <c r="E178" s="38"/>
      <c r="F178" s="38"/>
      <c r="G178" s="38"/>
      <c r="H178" s="38"/>
      <c r="I178" s="38"/>
      <c r="J178" s="82"/>
      <c r="K178" s="38"/>
    </row>
    <row r="179" spans="1:11">
      <c r="A179" s="24"/>
      <c r="C179" s="34"/>
      <c r="D179" s="38"/>
      <c r="E179" s="38"/>
      <c r="F179" s="38"/>
      <c r="G179" s="38"/>
      <c r="H179" s="38"/>
      <c r="I179" s="38"/>
      <c r="J179" s="82"/>
      <c r="K179" s="38"/>
    </row>
    <row r="180" spans="1:11">
      <c r="A180" s="24"/>
      <c r="C180" s="34"/>
      <c r="D180" s="38"/>
      <c r="E180" s="38"/>
      <c r="F180" s="38"/>
      <c r="G180" s="38"/>
      <c r="H180" s="38"/>
      <c r="I180" s="38"/>
      <c r="J180" s="82"/>
      <c r="K180" s="38"/>
    </row>
    <row r="181" spans="1:11">
      <c r="A181" s="24"/>
      <c r="C181" s="34"/>
      <c r="D181" s="38"/>
      <c r="E181" s="38"/>
      <c r="F181" s="38"/>
      <c r="G181" s="38"/>
      <c r="H181" s="38"/>
      <c r="I181" s="38"/>
      <c r="J181" s="82"/>
      <c r="K181" s="38"/>
    </row>
    <row r="182" spans="1:11">
      <c r="A182" s="24"/>
      <c r="C182" s="34"/>
      <c r="D182" s="38"/>
      <c r="E182" s="38"/>
      <c r="F182" s="38"/>
      <c r="G182" s="38"/>
      <c r="H182" s="38"/>
      <c r="I182" s="38"/>
      <c r="J182" s="82"/>
      <c r="K182" s="38"/>
    </row>
    <row r="183" spans="1:11">
      <c r="A183" s="24"/>
      <c r="C183" s="34"/>
      <c r="D183" s="38"/>
      <c r="E183" s="38"/>
      <c r="F183" s="38"/>
      <c r="G183" s="38"/>
      <c r="H183" s="38"/>
      <c r="I183" s="38"/>
      <c r="J183" s="82"/>
      <c r="K183" s="38"/>
    </row>
    <row r="184" spans="1:11">
      <c r="A184" s="24"/>
      <c r="C184" s="34"/>
      <c r="D184" s="38"/>
      <c r="E184" s="38"/>
      <c r="F184" s="38"/>
      <c r="G184" s="38"/>
      <c r="H184" s="38"/>
      <c r="I184" s="38"/>
      <c r="J184" s="82"/>
      <c r="K184" s="38"/>
    </row>
    <row r="185" spans="1:11">
      <c r="A185" s="24"/>
      <c r="C185" s="34"/>
      <c r="D185" s="38"/>
      <c r="E185" s="38"/>
      <c r="F185" s="38"/>
      <c r="G185" s="38"/>
      <c r="H185" s="38"/>
      <c r="I185" s="38"/>
      <c r="J185" s="82"/>
      <c r="K185" s="38"/>
    </row>
    <row r="186" spans="1:11">
      <c r="A186" s="24"/>
      <c r="C186" s="34"/>
      <c r="D186" s="38"/>
      <c r="E186" s="38"/>
      <c r="F186" s="38"/>
      <c r="G186" s="38"/>
      <c r="H186" s="38"/>
      <c r="I186" s="38"/>
      <c r="J186" s="82"/>
      <c r="K186" s="38"/>
    </row>
    <row r="187" spans="1:11">
      <c r="A187" s="24"/>
      <c r="C187" s="34"/>
      <c r="D187" s="38"/>
      <c r="E187" s="38"/>
      <c r="F187" s="38"/>
      <c r="G187" s="38"/>
      <c r="H187" s="38"/>
      <c r="I187" s="38"/>
      <c r="J187" s="82"/>
      <c r="K187" s="38"/>
    </row>
    <row r="188" spans="1:11">
      <c r="A188" s="24"/>
      <c r="C188" s="34"/>
      <c r="D188" s="38"/>
      <c r="E188" s="38"/>
      <c r="F188" s="38"/>
      <c r="G188" s="38"/>
      <c r="H188" s="38"/>
      <c r="I188" s="38"/>
      <c r="J188" s="82"/>
      <c r="K188" s="38"/>
    </row>
    <row r="189" spans="1:11">
      <c r="A189" s="66"/>
    </row>
    <row r="190" spans="1:11">
      <c r="A190" s="66"/>
    </row>
    <row r="191" spans="1:11">
      <c r="A191" s="66"/>
    </row>
    <row r="192" spans="1:11">
      <c r="A192" s="66"/>
    </row>
    <row r="193" spans="1:1">
      <c r="A193" s="66"/>
    </row>
    <row r="194" spans="1:1">
      <c r="A194" s="66"/>
    </row>
    <row r="195" spans="1:1">
      <c r="A195" s="66"/>
    </row>
    <row r="196" spans="1:1">
      <c r="A196" s="66"/>
    </row>
    <row r="197" spans="1:1">
      <c r="A197" s="66"/>
    </row>
    <row r="198" spans="1:1">
      <c r="A198" s="66"/>
    </row>
    <row r="199" spans="1:1">
      <c r="A199" s="66"/>
    </row>
    <row r="200" spans="1:1">
      <c r="A200" s="66"/>
    </row>
    <row r="201" spans="1:1">
      <c r="A201" s="66"/>
    </row>
    <row r="202" spans="1:1">
      <c r="A202" s="66"/>
    </row>
    <row r="203" spans="1:1">
      <c r="A203" s="66"/>
    </row>
    <row r="204" spans="1:1">
      <c r="A204" s="66"/>
    </row>
    <row r="205" spans="1:1">
      <c r="A205" s="66"/>
    </row>
    <row r="206" spans="1:1">
      <c r="A206" s="66"/>
    </row>
    <row r="207" spans="1:1">
      <c r="A207" s="66"/>
    </row>
    <row r="208" spans="1:1">
      <c r="A208" s="66"/>
    </row>
    <row r="209" spans="1:1">
      <c r="A209" s="66"/>
    </row>
    <row r="210" spans="1:1">
      <c r="A210" s="66"/>
    </row>
    <row r="211" spans="1:1">
      <c r="A211" s="66"/>
    </row>
    <row r="212" spans="1:1">
      <c r="A212" s="66"/>
    </row>
    <row r="213" spans="1:1">
      <c r="A213" s="66"/>
    </row>
    <row r="214" spans="1:1">
      <c r="A214" s="66"/>
    </row>
    <row r="215" spans="1:1">
      <c r="A215" s="66"/>
    </row>
    <row r="216" spans="1:1">
      <c r="A216" s="66"/>
    </row>
    <row r="217" spans="1:1">
      <c r="A217" s="66"/>
    </row>
    <row r="218" spans="1:1">
      <c r="A218" s="66"/>
    </row>
    <row r="219" spans="1:1">
      <c r="A219" s="66"/>
    </row>
    <row r="220" spans="1:1">
      <c r="A220" s="66"/>
    </row>
    <row r="221" spans="1:1">
      <c r="A221" s="66"/>
    </row>
    <row r="222" spans="1:1">
      <c r="A222" s="66"/>
    </row>
    <row r="223" spans="1:1">
      <c r="A223" s="66"/>
    </row>
    <row r="224" spans="1:1">
      <c r="A224" s="66"/>
    </row>
    <row r="225" spans="1:1">
      <c r="A225" s="66"/>
    </row>
    <row r="226" spans="1:1">
      <c r="A226" s="66"/>
    </row>
    <row r="227" spans="1:1">
      <c r="A227" s="66"/>
    </row>
    <row r="228" spans="1:1">
      <c r="A228" s="66"/>
    </row>
    <row r="229" spans="1:1">
      <c r="A229" s="66"/>
    </row>
    <row r="230" spans="1:1">
      <c r="A230" s="66"/>
    </row>
    <row r="231" spans="1:1">
      <c r="A231" s="66"/>
    </row>
    <row r="232" spans="1:1">
      <c r="A232" s="66"/>
    </row>
    <row r="233" spans="1:1">
      <c r="A233" s="66"/>
    </row>
    <row r="234" spans="1:1">
      <c r="A234" s="66"/>
    </row>
    <row r="235" spans="1:1">
      <c r="A235" s="66"/>
    </row>
    <row r="236" spans="1:1">
      <c r="A236" s="66"/>
    </row>
    <row r="237" spans="1:1">
      <c r="A237" s="66"/>
    </row>
    <row r="238" spans="1:1">
      <c r="A238" s="66"/>
    </row>
    <row r="239" spans="1:1">
      <c r="A239" s="66"/>
    </row>
    <row r="240" spans="1:1">
      <c r="A240" s="66"/>
    </row>
    <row r="241" spans="1:1">
      <c r="A241" s="66"/>
    </row>
    <row r="242" spans="1:1">
      <c r="A242" s="66"/>
    </row>
    <row r="243" spans="1:1">
      <c r="A243" s="66"/>
    </row>
    <row r="244" spans="1:1">
      <c r="A244" s="66"/>
    </row>
    <row r="245" spans="1:1">
      <c r="A245" s="66"/>
    </row>
    <row r="246" spans="1:1">
      <c r="A246" s="66"/>
    </row>
    <row r="247" spans="1:1">
      <c r="A247" s="66"/>
    </row>
    <row r="248" spans="1:1">
      <c r="A248" s="66"/>
    </row>
    <row r="249" spans="1:1">
      <c r="A249" s="66"/>
    </row>
    <row r="250" spans="1:1">
      <c r="A250" s="66"/>
    </row>
    <row r="251" spans="1:1">
      <c r="A251" s="66"/>
    </row>
    <row r="252" spans="1:1">
      <c r="A252" s="66"/>
    </row>
    <row r="253" spans="1:1">
      <c r="A253" s="66"/>
    </row>
    <row r="254" spans="1:1">
      <c r="A254" s="66"/>
    </row>
    <row r="255" spans="1:1">
      <c r="A255" s="66"/>
    </row>
    <row r="256" spans="1:1">
      <c r="A256" s="66"/>
    </row>
    <row r="257" spans="1:1">
      <c r="A257" s="66"/>
    </row>
    <row r="258" spans="1:1">
      <c r="A258" s="66"/>
    </row>
    <row r="259" spans="1:1">
      <c r="A259" s="66"/>
    </row>
    <row r="260" spans="1:1">
      <c r="A260" s="66"/>
    </row>
    <row r="261" spans="1:1">
      <c r="A261" s="66"/>
    </row>
    <row r="262" spans="1:1">
      <c r="A262" s="66"/>
    </row>
    <row r="263" spans="1:1">
      <c r="A263" s="66"/>
    </row>
    <row r="264" spans="1:1">
      <c r="A264" s="66"/>
    </row>
    <row r="265" spans="1:1">
      <c r="A265" s="66"/>
    </row>
    <row r="266" spans="1:1">
      <c r="A266" s="66"/>
    </row>
    <row r="267" spans="1:1">
      <c r="A267" s="66"/>
    </row>
    <row r="268" spans="1:1">
      <c r="A268" s="66"/>
    </row>
    <row r="269" spans="1:1">
      <c r="A269" s="66"/>
    </row>
    <row r="270" spans="1:1">
      <c r="A270" s="66"/>
    </row>
    <row r="271" spans="1:1">
      <c r="A271" s="66"/>
    </row>
    <row r="272" spans="1:1">
      <c r="A272" s="66"/>
    </row>
    <row r="273" spans="1:1">
      <c r="A273" s="66"/>
    </row>
    <row r="274" spans="1:1">
      <c r="A274" s="66"/>
    </row>
    <row r="275" spans="1:1">
      <c r="A275" s="66"/>
    </row>
    <row r="276" spans="1:1">
      <c r="A276" s="66"/>
    </row>
    <row r="277" spans="1:1">
      <c r="A277" s="66"/>
    </row>
    <row r="278" spans="1:1">
      <c r="A278" s="66"/>
    </row>
    <row r="279" spans="1:1">
      <c r="A279" s="66"/>
    </row>
    <row r="280" spans="1:1">
      <c r="A280" s="66"/>
    </row>
    <row r="281" spans="1:1">
      <c r="A281" s="66"/>
    </row>
    <row r="282" spans="1:1">
      <c r="A282" s="66"/>
    </row>
    <row r="283" spans="1:1">
      <c r="A283" s="66"/>
    </row>
    <row r="284" spans="1:1">
      <c r="A284" s="66"/>
    </row>
    <row r="285" spans="1:1">
      <c r="A285" s="66"/>
    </row>
    <row r="286" spans="1:1">
      <c r="A286" s="66"/>
    </row>
    <row r="287" spans="1:1">
      <c r="A287" s="66"/>
    </row>
    <row r="288" spans="1:1">
      <c r="A288" s="66"/>
    </row>
    <row r="289" spans="1:1">
      <c r="A289" s="66"/>
    </row>
    <row r="290" spans="1:1">
      <c r="A290" s="66"/>
    </row>
    <row r="291" spans="1:1">
      <c r="A291" s="66"/>
    </row>
    <row r="292" spans="1:1">
      <c r="A292" s="66"/>
    </row>
    <row r="293" spans="1:1">
      <c r="A293" s="66"/>
    </row>
    <row r="294" spans="1:1">
      <c r="A294" s="66"/>
    </row>
    <row r="295" spans="1:1">
      <c r="A295" s="66"/>
    </row>
    <row r="296" spans="1:1">
      <c r="A296" s="66"/>
    </row>
    <row r="297" spans="1:1">
      <c r="A297" s="66"/>
    </row>
    <row r="298" spans="1:1">
      <c r="A298" s="66"/>
    </row>
    <row r="299" spans="1:1">
      <c r="A299" s="66"/>
    </row>
    <row r="300" spans="1:1">
      <c r="A300" s="66"/>
    </row>
    <row r="301" spans="1:1">
      <c r="A301" s="66"/>
    </row>
    <row r="302" spans="1:1">
      <c r="A302" s="66"/>
    </row>
    <row r="303" spans="1:1">
      <c r="A303" s="66"/>
    </row>
    <row r="304" spans="1:1">
      <c r="A304" s="66"/>
    </row>
    <row r="305" spans="1:1">
      <c r="A305" s="66"/>
    </row>
    <row r="306" spans="1:1">
      <c r="A306" s="66"/>
    </row>
    <row r="307" spans="1:1">
      <c r="A307" s="66"/>
    </row>
    <row r="308" spans="1:1">
      <c r="A308" s="66"/>
    </row>
    <row r="309" spans="1:1">
      <c r="A309" s="66"/>
    </row>
    <row r="310" spans="1:1">
      <c r="A310" s="66"/>
    </row>
    <row r="311" spans="1:1">
      <c r="A311" s="66"/>
    </row>
    <row r="312" spans="1:1">
      <c r="A312" s="66"/>
    </row>
    <row r="313" spans="1:1">
      <c r="A313" s="66"/>
    </row>
    <row r="314" spans="1:1">
      <c r="A314" s="66"/>
    </row>
    <row r="315" spans="1:1">
      <c r="A315" s="66"/>
    </row>
    <row r="316" spans="1:1">
      <c r="A316" s="66"/>
    </row>
    <row r="317" spans="1:1">
      <c r="A317" s="66"/>
    </row>
    <row r="318" spans="1:1">
      <c r="A318" s="66"/>
    </row>
    <row r="319" spans="1:1">
      <c r="A319" s="66"/>
    </row>
    <row r="320" spans="1:1">
      <c r="A320" s="66"/>
    </row>
    <row r="321" spans="1:1">
      <c r="A321" s="66"/>
    </row>
    <row r="322" spans="1:1">
      <c r="A322" s="66"/>
    </row>
    <row r="323" spans="1:1">
      <c r="A323" s="66"/>
    </row>
    <row r="324" spans="1:1">
      <c r="A324" s="66"/>
    </row>
    <row r="325" spans="1:1">
      <c r="A325" s="66"/>
    </row>
    <row r="326" spans="1:1">
      <c r="A326" s="66"/>
    </row>
    <row r="327" spans="1:1">
      <c r="A327" s="66"/>
    </row>
    <row r="328" spans="1:1">
      <c r="A328" s="66"/>
    </row>
    <row r="329" spans="1:1">
      <c r="A329" s="66"/>
    </row>
    <row r="330" spans="1:1">
      <c r="A330" s="66"/>
    </row>
    <row r="331" spans="1:1">
      <c r="A331" s="66"/>
    </row>
    <row r="332" spans="1:1">
      <c r="A332" s="66"/>
    </row>
    <row r="333" spans="1:1">
      <c r="A333" s="66"/>
    </row>
    <row r="334" spans="1:1">
      <c r="A334" s="66"/>
    </row>
    <row r="335" spans="1:1">
      <c r="A335" s="66"/>
    </row>
    <row r="336" spans="1:1">
      <c r="A336" s="66"/>
    </row>
    <row r="337" spans="1:1">
      <c r="A337" s="66"/>
    </row>
    <row r="338" spans="1:1">
      <c r="A338" s="66"/>
    </row>
    <row r="339" spans="1:1">
      <c r="A339" s="66"/>
    </row>
    <row r="340" spans="1:1">
      <c r="A340" s="66"/>
    </row>
    <row r="341" spans="1:1">
      <c r="A341" s="66"/>
    </row>
    <row r="342" spans="1:1">
      <c r="A342" s="66"/>
    </row>
    <row r="343" spans="1:1">
      <c r="A343" s="66"/>
    </row>
    <row r="344" spans="1:1">
      <c r="A344" s="66"/>
    </row>
    <row r="345" spans="1:1">
      <c r="A345" s="66"/>
    </row>
    <row r="346" spans="1:1">
      <c r="A346" s="66"/>
    </row>
    <row r="347" spans="1:1">
      <c r="A347" s="66"/>
    </row>
    <row r="348" spans="1:1">
      <c r="A348" s="66"/>
    </row>
    <row r="349" spans="1:1">
      <c r="A349" s="66"/>
    </row>
    <row r="350" spans="1:1">
      <c r="A350" s="66"/>
    </row>
    <row r="351" spans="1:1">
      <c r="A351" s="66"/>
    </row>
    <row r="352" spans="1:1">
      <c r="A352" s="66"/>
    </row>
    <row r="353" spans="1:1">
      <c r="A353" s="66"/>
    </row>
    <row r="354" spans="1:1">
      <c r="A354" s="66"/>
    </row>
    <row r="355" spans="1:1">
      <c r="A355" s="66"/>
    </row>
  </sheetData>
  <mergeCells count="36">
    <mergeCell ref="J6:K6"/>
    <mergeCell ref="B12:D12"/>
    <mergeCell ref="J12:K12"/>
    <mergeCell ref="B13:G13"/>
    <mergeCell ref="B14:D14"/>
    <mergeCell ref="H6:I6"/>
    <mergeCell ref="B15:D15"/>
    <mergeCell ref="B16:D16"/>
    <mergeCell ref="B17:D17"/>
    <mergeCell ref="B18:D18"/>
    <mergeCell ref="B19:D19"/>
    <mergeCell ref="G19:H19"/>
    <mergeCell ref="B20:D20"/>
    <mergeCell ref="B21:D21"/>
    <mergeCell ref="B22:G22"/>
    <mergeCell ref="B23:D23"/>
    <mergeCell ref="B24:D24"/>
    <mergeCell ref="G20:H20"/>
    <mergeCell ref="A26:K26"/>
    <mergeCell ref="A27:K27"/>
    <mergeCell ref="A28:K28"/>
    <mergeCell ref="A29:K29"/>
    <mergeCell ref="A31:A32"/>
    <mergeCell ref="B31:B32"/>
    <mergeCell ref="C31:D31"/>
    <mergeCell ref="G31:K31"/>
    <mergeCell ref="C145:D145"/>
    <mergeCell ref="J145:K145"/>
    <mergeCell ref="A148:J148"/>
    <mergeCell ref="A34:K34"/>
    <mergeCell ref="A35:K35"/>
    <mergeCell ref="A102:K102"/>
    <mergeCell ref="A111:K111"/>
    <mergeCell ref="A121:K121"/>
    <mergeCell ref="C144:D144"/>
    <mergeCell ref="J144:K144"/>
  </mergeCells>
  <pageMargins left="0.70866141732283472" right="0.43307086614173229" top="0.74803149606299213" bottom="0.31" header="0.31496062992125984" footer="0.31496062992125984"/>
  <pageSetup paperSize="9" scale="45" orientation="portrait" r:id="rId1"/>
  <rowBreaks count="1" manualBreakCount="1">
    <brk id="10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Звіт Фін план 1 кв.2024рік</vt:lpstr>
      <vt:lpstr>Звіт Фін план 2 кв.2024рік</vt:lpstr>
      <vt:lpstr>'Звіт Фін план 2 кв.2024рік'!Область_печати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1</cp:lastModifiedBy>
  <cp:lastPrinted>2024-08-16T13:50:56Z</cp:lastPrinted>
  <dcterms:created xsi:type="dcterms:W3CDTF">2003-03-13T16:00:22Z</dcterms:created>
  <dcterms:modified xsi:type="dcterms:W3CDTF">2024-08-19T13:08:20Z</dcterms:modified>
</cp:coreProperties>
</file>